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Users\Diana\Documents\"/>
    </mc:Choice>
  </mc:AlternateContent>
  <bookViews>
    <workbookView xWindow="0" yWindow="0" windowWidth="28800" windowHeight="11400" tabRatio="825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Area" localSheetId="3">'ANALITIKA EU PROJEKATA'!$A$2:$N$43</definedName>
    <definedName name="_xlnm.Print_Area" localSheetId="0">'Opći dio'!$A$3:$E$32</definedName>
    <definedName name="_xlnm.Print_Area" localSheetId="1">'Plan prihoda za unos u SAP'!$A$2:$I$21</definedName>
    <definedName name="_xlnm.Print_Area" localSheetId="2">'Plan rashoda za unos u SAP'!$A$2:$K$116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D19" i="25" l="1"/>
  <c r="D21" i="25"/>
  <c r="D22" i="25"/>
  <c r="D23" i="25"/>
  <c r="D24" i="25"/>
  <c r="D26" i="25"/>
  <c r="D27" i="25"/>
  <c r="D28" i="25"/>
  <c r="D29" i="25"/>
  <c r="F3" i="25"/>
  <c r="F4" i="25"/>
  <c r="F5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B40" i="25"/>
  <c r="B43" i="25"/>
  <c r="B44" i="25"/>
  <c r="B45" i="25"/>
  <c r="B46" i="25"/>
  <c r="B47" i="25"/>
  <c r="B48" i="25"/>
  <c r="B49" i="25"/>
  <c r="B50" i="25"/>
  <c r="B51" i="25"/>
  <c r="B52" i="25"/>
  <c r="B53" i="25"/>
  <c r="B54" i="25"/>
  <c r="B55" i="25"/>
  <c r="B56" i="25"/>
  <c r="B57" i="25"/>
  <c r="B58" i="25"/>
  <c r="B59" i="25"/>
  <c r="B60" i="25"/>
  <c r="B61" i="25"/>
  <c r="B62" i="25"/>
  <c r="B63" i="25"/>
  <c r="B64" i="25"/>
  <c r="B65" i="25"/>
  <c r="B66" i="25"/>
  <c r="B67" i="25"/>
  <c r="B68" i="25"/>
  <c r="B69" i="25"/>
  <c r="B70" i="25"/>
  <c r="B71" i="25"/>
  <c r="B72" i="25"/>
  <c r="B73" i="25"/>
  <c r="B74" i="25"/>
  <c r="B75" i="25"/>
  <c r="B76" i="25"/>
  <c r="B77" i="25"/>
  <c r="B78" i="25"/>
  <c r="B79" i="25"/>
  <c r="B80" i="25"/>
  <c r="B81" i="25"/>
  <c r="B82" i="25"/>
  <c r="B83" i="25"/>
  <c r="B84" i="25"/>
  <c r="B85" i="25"/>
  <c r="B86" i="25"/>
  <c r="B87" i="25"/>
  <c r="B88" i="25"/>
  <c r="B89" i="25"/>
  <c r="B90" i="25"/>
  <c r="B91" i="25"/>
  <c r="B92" i="25"/>
  <c r="B93" i="25"/>
  <c r="B94" i="25"/>
  <c r="B95" i="25"/>
  <c r="B96" i="25"/>
  <c r="B97" i="25"/>
  <c r="B98" i="25"/>
  <c r="B99" i="25"/>
  <c r="B100" i="25"/>
  <c r="B20" i="25" l="1"/>
  <c r="P20" i="25"/>
  <c r="Q20" i="25"/>
  <c r="X20" i="25"/>
  <c r="Y20" i="25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D99" i="25"/>
  <c r="D98" i="25"/>
  <c r="D97" i="25"/>
  <c r="D96" i="25"/>
  <c r="D95" i="25"/>
  <c r="D94" i="25"/>
  <c r="D93" i="25"/>
  <c r="D92" i="25"/>
  <c r="D91" i="25"/>
  <c r="D90" i="25"/>
  <c r="D89" i="25"/>
  <c r="D88" i="25"/>
  <c r="D87" i="25"/>
  <c r="D86" i="25"/>
  <c r="D85" i="25"/>
  <c r="D84" i="25"/>
  <c r="D83" i="25"/>
  <c r="D82" i="25"/>
  <c r="D81" i="25"/>
  <c r="D80" i="25"/>
  <c r="D79" i="25"/>
  <c r="D78" i="25"/>
  <c r="D77" i="25"/>
  <c r="D76" i="25"/>
  <c r="D75" i="25"/>
  <c r="D74" i="25"/>
  <c r="D73" i="25"/>
  <c r="D72" i="25"/>
  <c r="D71" i="25"/>
  <c r="D70" i="25"/>
  <c r="D69" i="25"/>
  <c r="D68" i="25"/>
  <c r="D67" i="25"/>
  <c r="D66" i="25"/>
  <c r="D65" i="25"/>
  <c r="D64" i="25"/>
  <c r="D63" i="25"/>
  <c r="D62" i="25"/>
  <c r="D61" i="25"/>
  <c r="D60" i="25"/>
  <c r="D59" i="25"/>
  <c r="D58" i="25"/>
  <c r="D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5" i="25"/>
  <c r="D34" i="25"/>
  <c r="D33" i="25"/>
  <c r="D32" i="25"/>
  <c r="D31" i="25"/>
  <c r="D30" i="25"/>
  <c r="B26" i="25"/>
  <c r="B25" i="25"/>
  <c r="B24" i="25"/>
  <c r="B23" i="25"/>
  <c r="B22" i="25"/>
  <c r="B21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5" i="25"/>
  <c r="B5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R108" i="14"/>
  <c r="Q108" i="14"/>
  <c r="P108" i="14"/>
  <c r="O108" i="14"/>
  <c r="M108" i="14"/>
  <c r="H108" i="14"/>
  <c r="W107" i="14"/>
  <c r="V107" i="14"/>
  <c r="U107" i="14"/>
  <c r="R107" i="14"/>
  <c r="Q107" i="14"/>
  <c r="P107" i="14"/>
  <c r="O107" i="14"/>
  <c r="M107" i="14"/>
  <c r="H107" i="14"/>
  <c r="W105" i="14"/>
  <c r="V105" i="14"/>
  <c r="U105" i="14"/>
  <c r="R105" i="14"/>
  <c r="Q105" i="14"/>
  <c r="P105" i="14"/>
  <c r="O105" i="14"/>
  <c r="M105" i="14"/>
  <c r="H105" i="14"/>
  <c r="W104" i="14"/>
  <c r="V104" i="14"/>
  <c r="U104" i="14"/>
  <c r="R104" i="14"/>
  <c r="Q104" i="14"/>
  <c r="P104" i="14"/>
  <c r="O104" i="14"/>
  <c r="M104" i="14"/>
  <c r="H104" i="14"/>
  <c r="W103" i="14"/>
  <c r="V103" i="14"/>
  <c r="U103" i="14"/>
  <c r="R103" i="14"/>
  <c r="Q103" i="14"/>
  <c r="P103" i="14"/>
  <c r="O103" i="14"/>
  <c r="M103" i="14"/>
  <c r="H103" i="14"/>
  <c r="W102" i="14"/>
  <c r="V102" i="14"/>
  <c r="U102" i="14"/>
  <c r="R102" i="14"/>
  <c r="Q102" i="14"/>
  <c r="P102" i="14"/>
  <c r="O102" i="14"/>
  <c r="M102" i="14"/>
  <c r="H102" i="14"/>
  <c r="W101" i="14"/>
  <c r="V101" i="14"/>
  <c r="U101" i="14"/>
  <c r="R101" i="14"/>
  <c r="Q101" i="14"/>
  <c r="P101" i="14"/>
  <c r="O101" i="14"/>
  <c r="M101" i="14"/>
  <c r="H101" i="14"/>
  <c r="W99" i="14"/>
  <c r="V99" i="14"/>
  <c r="U99" i="14"/>
  <c r="R99" i="14"/>
  <c r="Q99" i="14"/>
  <c r="P99" i="14"/>
  <c r="O99" i="14"/>
  <c r="M99" i="14"/>
  <c r="H99" i="14"/>
  <c r="W98" i="14"/>
  <c r="V98" i="14"/>
  <c r="U98" i="14"/>
  <c r="R98" i="14"/>
  <c r="Q98" i="14"/>
  <c r="P98" i="14"/>
  <c r="O98" i="14"/>
  <c r="M98" i="14"/>
  <c r="H98" i="14"/>
  <c r="W97" i="14"/>
  <c r="V97" i="14"/>
  <c r="U97" i="14"/>
  <c r="R97" i="14"/>
  <c r="Q97" i="14"/>
  <c r="P97" i="14"/>
  <c r="O97" i="14"/>
  <c r="M97" i="14"/>
  <c r="H97" i="14"/>
  <c r="W96" i="14"/>
  <c r="V96" i="14"/>
  <c r="U96" i="14"/>
  <c r="R96" i="14"/>
  <c r="Q96" i="14"/>
  <c r="P96" i="14"/>
  <c r="O96" i="14"/>
  <c r="M96" i="14"/>
  <c r="H96" i="14"/>
  <c r="W95" i="14"/>
  <c r="V95" i="14"/>
  <c r="U95" i="14"/>
  <c r="R95" i="14"/>
  <c r="Q95" i="14"/>
  <c r="P95" i="14"/>
  <c r="O95" i="14"/>
  <c r="M95" i="14"/>
  <c r="H95" i="14"/>
  <c r="W94" i="14"/>
  <c r="V94" i="14"/>
  <c r="U94" i="14"/>
  <c r="R94" i="14"/>
  <c r="Q94" i="14"/>
  <c r="P94" i="14"/>
  <c r="O94" i="14"/>
  <c r="M94" i="14"/>
  <c r="H94" i="14"/>
  <c r="W93" i="14"/>
  <c r="V93" i="14"/>
  <c r="U93" i="14"/>
  <c r="R93" i="14"/>
  <c r="Q93" i="14"/>
  <c r="P93" i="14"/>
  <c r="O93" i="14"/>
  <c r="M93" i="14"/>
  <c r="H93" i="14"/>
  <c r="W88" i="14"/>
  <c r="V88" i="14"/>
  <c r="U88" i="14"/>
  <c r="R88" i="14"/>
  <c r="Q88" i="14"/>
  <c r="P88" i="14"/>
  <c r="O88" i="14"/>
  <c r="M88" i="14"/>
  <c r="H88" i="14"/>
  <c r="W87" i="14"/>
  <c r="V87" i="14"/>
  <c r="U87" i="14"/>
  <c r="R87" i="14"/>
  <c r="Q87" i="14"/>
  <c r="P87" i="14"/>
  <c r="O87" i="14"/>
  <c r="M87" i="14"/>
  <c r="H87" i="14"/>
  <c r="W85" i="14"/>
  <c r="V85" i="14"/>
  <c r="U85" i="14"/>
  <c r="R85" i="14"/>
  <c r="Q85" i="14"/>
  <c r="P85" i="14"/>
  <c r="O85" i="14"/>
  <c r="M85" i="14"/>
  <c r="H85" i="14"/>
  <c r="W84" i="14"/>
  <c r="V84" i="14"/>
  <c r="U84" i="14"/>
  <c r="R84" i="14"/>
  <c r="Q84" i="14"/>
  <c r="P84" i="14"/>
  <c r="O84" i="14"/>
  <c r="M84" i="14"/>
  <c r="H84" i="14"/>
  <c r="W83" i="14"/>
  <c r="V83" i="14"/>
  <c r="U83" i="14"/>
  <c r="R83" i="14"/>
  <c r="Q83" i="14"/>
  <c r="P83" i="14"/>
  <c r="O83" i="14"/>
  <c r="M83" i="14"/>
  <c r="H83" i="14"/>
  <c r="W82" i="14"/>
  <c r="V82" i="14"/>
  <c r="U82" i="14"/>
  <c r="R82" i="14"/>
  <c r="Q82" i="14"/>
  <c r="P82" i="14"/>
  <c r="O82" i="14"/>
  <c r="M82" i="14"/>
  <c r="H82" i="14"/>
  <c r="W81" i="14"/>
  <c r="V81" i="14"/>
  <c r="U81" i="14"/>
  <c r="R81" i="14"/>
  <c r="Q81" i="14"/>
  <c r="P81" i="14"/>
  <c r="O81" i="14"/>
  <c r="M81" i="14"/>
  <c r="H81" i="14"/>
  <c r="W79" i="14"/>
  <c r="V79" i="14"/>
  <c r="U79" i="14"/>
  <c r="R79" i="14"/>
  <c r="Q79" i="14"/>
  <c r="P79" i="14"/>
  <c r="O79" i="14"/>
  <c r="M79" i="14"/>
  <c r="H79" i="14"/>
  <c r="W78" i="14"/>
  <c r="V78" i="14"/>
  <c r="U78" i="14"/>
  <c r="R78" i="14"/>
  <c r="Q78" i="14"/>
  <c r="P78" i="14"/>
  <c r="O78" i="14"/>
  <c r="M78" i="14"/>
  <c r="H78" i="14"/>
  <c r="W77" i="14"/>
  <c r="V77" i="14"/>
  <c r="U77" i="14"/>
  <c r="R77" i="14"/>
  <c r="Q77" i="14"/>
  <c r="P77" i="14"/>
  <c r="O77" i="14"/>
  <c r="M77" i="14"/>
  <c r="H77" i="14"/>
  <c r="W76" i="14"/>
  <c r="V76" i="14"/>
  <c r="U76" i="14"/>
  <c r="R76" i="14"/>
  <c r="Q76" i="14"/>
  <c r="P76" i="14"/>
  <c r="O76" i="14"/>
  <c r="M76" i="14"/>
  <c r="H76" i="14"/>
  <c r="W75" i="14"/>
  <c r="V75" i="14"/>
  <c r="U75" i="14"/>
  <c r="R75" i="14"/>
  <c r="Q75" i="14"/>
  <c r="P75" i="14"/>
  <c r="O75" i="14"/>
  <c r="M75" i="14"/>
  <c r="H75" i="14"/>
  <c r="W74" i="14"/>
  <c r="V74" i="14"/>
  <c r="U74" i="14"/>
  <c r="R74" i="14"/>
  <c r="Q74" i="14"/>
  <c r="P74" i="14"/>
  <c r="O74" i="14"/>
  <c r="M74" i="14"/>
  <c r="H74" i="14"/>
  <c r="W73" i="14"/>
  <c r="V73" i="14"/>
  <c r="U73" i="14"/>
  <c r="R73" i="14"/>
  <c r="Q73" i="14"/>
  <c r="P73" i="14"/>
  <c r="O73" i="14"/>
  <c r="M73" i="14"/>
  <c r="H73" i="14"/>
  <c r="W68" i="14"/>
  <c r="V68" i="14"/>
  <c r="U68" i="14"/>
  <c r="R68" i="14"/>
  <c r="Q68" i="14"/>
  <c r="P68" i="14"/>
  <c r="O68" i="14"/>
  <c r="M68" i="14"/>
  <c r="W67" i="14"/>
  <c r="V67" i="14"/>
  <c r="U67" i="14"/>
  <c r="R67" i="14"/>
  <c r="Q67" i="14"/>
  <c r="P67" i="14"/>
  <c r="O67" i="14"/>
  <c r="M67" i="14"/>
  <c r="W66" i="14"/>
  <c r="V66" i="14"/>
  <c r="U66" i="14"/>
  <c r="R66" i="14"/>
  <c r="Q66" i="14"/>
  <c r="P66" i="14"/>
  <c r="O66" i="14"/>
  <c r="M66" i="14"/>
  <c r="W65" i="14"/>
  <c r="V65" i="14"/>
  <c r="U65" i="14"/>
  <c r="R65" i="14"/>
  <c r="Q65" i="14"/>
  <c r="P65" i="14"/>
  <c r="O65" i="14"/>
  <c r="M65" i="14"/>
  <c r="W64" i="14"/>
  <c r="V64" i="14"/>
  <c r="U64" i="14"/>
  <c r="R64" i="14"/>
  <c r="Q64" i="14"/>
  <c r="P64" i="14"/>
  <c r="O64" i="14"/>
  <c r="M64" i="14"/>
  <c r="W62" i="14"/>
  <c r="V62" i="14"/>
  <c r="U62" i="14"/>
  <c r="R62" i="14"/>
  <c r="Q62" i="14"/>
  <c r="P62" i="14"/>
  <c r="O62" i="14"/>
  <c r="M62" i="14"/>
  <c r="W61" i="14"/>
  <c r="V61" i="14"/>
  <c r="U61" i="14"/>
  <c r="R61" i="14"/>
  <c r="Q61" i="14"/>
  <c r="P61" i="14"/>
  <c r="O61" i="14"/>
  <c r="M61" i="14"/>
  <c r="W60" i="14"/>
  <c r="V60" i="14"/>
  <c r="U60" i="14"/>
  <c r="R60" i="14"/>
  <c r="Q60" i="14"/>
  <c r="P60" i="14"/>
  <c r="O60" i="14"/>
  <c r="M60" i="14"/>
  <c r="W57" i="14"/>
  <c r="V57" i="14"/>
  <c r="U57" i="14"/>
  <c r="R57" i="14"/>
  <c r="Q57" i="14"/>
  <c r="P57" i="14"/>
  <c r="O57" i="14"/>
  <c r="M57" i="14"/>
  <c r="W56" i="14"/>
  <c r="V56" i="14"/>
  <c r="U56" i="14"/>
  <c r="R56" i="14"/>
  <c r="Q56" i="14"/>
  <c r="P56" i="14"/>
  <c r="O56" i="14"/>
  <c r="M56" i="14"/>
  <c r="W55" i="14"/>
  <c r="V55" i="14"/>
  <c r="U55" i="14"/>
  <c r="R55" i="14"/>
  <c r="Q55" i="14"/>
  <c r="P55" i="14"/>
  <c r="O55" i="14"/>
  <c r="M55" i="14"/>
  <c r="W54" i="14"/>
  <c r="V54" i="14"/>
  <c r="U54" i="14"/>
  <c r="R54" i="14"/>
  <c r="Q54" i="14"/>
  <c r="P54" i="14"/>
  <c r="O54" i="14"/>
  <c r="M54" i="14"/>
  <c r="W52" i="14"/>
  <c r="V52" i="14"/>
  <c r="U52" i="14"/>
  <c r="R52" i="14"/>
  <c r="Q52" i="14"/>
  <c r="P52" i="14"/>
  <c r="O52" i="14"/>
  <c r="M52" i="14"/>
  <c r="W50" i="14"/>
  <c r="V50" i="14"/>
  <c r="U50" i="14"/>
  <c r="R50" i="14"/>
  <c r="Q50" i="14"/>
  <c r="P50" i="14"/>
  <c r="O50" i="14"/>
  <c r="M50" i="14"/>
  <c r="W48" i="14"/>
  <c r="V48" i="14"/>
  <c r="U48" i="14"/>
  <c r="R48" i="14"/>
  <c r="Q48" i="14"/>
  <c r="P48" i="14"/>
  <c r="O48" i="14"/>
  <c r="M48" i="14"/>
  <c r="W47" i="14"/>
  <c r="V47" i="14"/>
  <c r="U47" i="14"/>
  <c r="R47" i="14"/>
  <c r="Q47" i="14"/>
  <c r="P47" i="14"/>
  <c r="O47" i="14"/>
  <c r="M47" i="14"/>
  <c r="W46" i="14"/>
  <c r="V46" i="14"/>
  <c r="U46" i="14"/>
  <c r="R46" i="14"/>
  <c r="Q46" i="14"/>
  <c r="P46" i="14"/>
  <c r="O46" i="14"/>
  <c r="M46" i="14"/>
  <c r="W45" i="14"/>
  <c r="V45" i="14"/>
  <c r="U45" i="14"/>
  <c r="R45" i="14"/>
  <c r="Q45" i="14"/>
  <c r="P45" i="14"/>
  <c r="O45" i="14"/>
  <c r="M45" i="14"/>
  <c r="W44" i="14"/>
  <c r="V44" i="14"/>
  <c r="U44" i="14"/>
  <c r="R44" i="14"/>
  <c r="Q44" i="14"/>
  <c r="P44" i="14"/>
  <c r="O44" i="14"/>
  <c r="M44" i="14"/>
  <c r="W43" i="14"/>
  <c r="V43" i="14"/>
  <c r="U43" i="14"/>
  <c r="R43" i="14"/>
  <c r="Q43" i="14"/>
  <c r="P43" i="14"/>
  <c r="O43" i="14"/>
  <c r="M43" i="14"/>
  <c r="W41" i="14"/>
  <c r="V41" i="14"/>
  <c r="U41" i="14"/>
  <c r="R41" i="14"/>
  <c r="Q41" i="14"/>
  <c r="P41" i="14"/>
  <c r="O41" i="14"/>
  <c r="M41" i="14"/>
  <c r="W40" i="14"/>
  <c r="V40" i="14"/>
  <c r="U40" i="14"/>
  <c r="R40" i="14"/>
  <c r="Q40" i="14"/>
  <c r="P40" i="14"/>
  <c r="O40" i="14"/>
  <c r="M40" i="14"/>
  <c r="W37" i="14"/>
  <c r="V37" i="14"/>
  <c r="U37" i="14"/>
  <c r="R37" i="14"/>
  <c r="Q37" i="14"/>
  <c r="P37" i="14"/>
  <c r="O37" i="14"/>
  <c r="M37" i="14"/>
  <c r="W36" i="14"/>
  <c r="V36" i="14"/>
  <c r="U36" i="14"/>
  <c r="R36" i="14"/>
  <c r="Q36" i="14"/>
  <c r="P36" i="14"/>
  <c r="O36" i="14"/>
  <c r="M36" i="14"/>
  <c r="W35" i="14"/>
  <c r="V35" i="14"/>
  <c r="U35" i="14"/>
  <c r="R35" i="14"/>
  <c r="Q35" i="14"/>
  <c r="P35" i="14"/>
  <c r="O35" i="14"/>
  <c r="M35" i="14"/>
  <c r="W34" i="14"/>
  <c r="V34" i="14"/>
  <c r="U34" i="14"/>
  <c r="R34" i="14"/>
  <c r="Q34" i="14"/>
  <c r="P34" i="14"/>
  <c r="O34" i="14"/>
  <c r="M34" i="14"/>
  <c r="W32" i="14"/>
  <c r="V32" i="14"/>
  <c r="U32" i="14"/>
  <c r="R32" i="14"/>
  <c r="Q32" i="14"/>
  <c r="P32" i="14"/>
  <c r="O32" i="14"/>
  <c r="M32" i="14"/>
  <c r="W31" i="14"/>
  <c r="V31" i="14"/>
  <c r="U31" i="14"/>
  <c r="R31" i="14"/>
  <c r="Q31" i="14"/>
  <c r="P31" i="14"/>
  <c r="O31" i="14"/>
  <c r="M31" i="14"/>
  <c r="W29" i="14"/>
  <c r="V29" i="14"/>
  <c r="U29" i="14"/>
  <c r="R29" i="14"/>
  <c r="Q29" i="14"/>
  <c r="P29" i="14"/>
  <c r="O29" i="14"/>
  <c r="M29" i="14"/>
  <c r="W28" i="14"/>
  <c r="V28" i="14"/>
  <c r="U28" i="14"/>
  <c r="R28" i="14"/>
  <c r="Q28" i="14"/>
  <c r="P28" i="14"/>
  <c r="O28" i="14"/>
  <c r="M28" i="14"/>
  <c r="W27" i="14"/>
  <c r="V27" i="14"/>
  <c r="U27" i="14"/>
  <c r="R27" i="14"/>
  <c r="Q27" i="14"/>
  <c r="P27" i="14"/>
  <c r="O27" i="14"/>
  <c r="M27" i="14"/>
  <c r="W26" i="14"/>
  <c r="V26" i="14"/>
  <c r="U26" i="14"/>
  <c r="R26" i="14"/>
  <c r="Q26" i="14"/>
  <c r="P26" i="14"/>
  <c r="O26" i="14"/>
  <c r="M26" i="14"/>
  <c r="W25" i="14"/>
  <c r="V25" i="14"/>
  <c r="U25" i="14"/>
  <c r="R25" i="14"/>
  <c r="Q25" i="14"/>
  <c r="P25" i="14"/>
  <c r="O25" i="14"/>
  <c r="M25" i="14"/>
  <c r="W24" i="14"/>
  <c r="V24" i="14"/>
  <c r="U24" i="14"/>
  <c r="R24" i="14"/>
  <c r="Q24" i="14"/>
  <c r="P24" i="14"/>
  <c r="O24" i="14"/>
  <c r="M24" i="14"/>
  <c r="W22" i="14"/>
  <c r="V22" i="14"/>
  <c r="U22" i="14"/>
  <c r="R22" i="14"/>
  <c r="Q22" i="14"/>
  <c r="P22" i="14"/>
  <c r="O22" i="14"/>
  <c r="M22" i="14"/>
  <c r="W21" i="14"/>
  <c r="V21" i="14"/>
  <c r="U21" i="14"/>
  <c r="R21" i="14"/>
  <c r="Q21" i="14"/>
  <c r="P21" i="14"/>
  <c r="O21" i="14"/>
  <c r="M21" i="14"/>
  <c r="W20" i="14"/>
  <c r="V20" i="14"/>
  <c r="U20" i="14"/>
  <c r="R20" i="14"/>
  <c r="Q20" i="14"/>
  <c r="P20" i="14"/>
  <c r="O20" i="14"/>
  <c r="M20" i="14"/>
  <c r="W18" i="14"/>
  <c r="V18" i="14"/>
  <c r="U18" i="14"/>
  <c r="R18" i="14"/>
  <c r="Q18" i="14"/>
  <c r="P18" i="14"/>
  <c r="O18" i="14"/>
  <c r="M18" i="14"/>
  <c r="W17" i="14"/>
  <c r="V17" i="14"/>
  <c r="U17" i="14"/>
  <c r="R17" i="14"/>
  <c r="Q17" i="14"/>
  <c r="P17" i="14"/>
  <c r="O17" i="14"/>
  <c r="M17" i="14"/>
  <c r="W16" i="14"/>
  <c r="V16" i="14"/>
  <c r="U16" i="14"/>
  <c r="R16" i="14"/>
  <c r="Q16" i="14"/>
  <c r="P16" i="14"/>
  <c r="O16" i="14"/>
  <c r="M16" i="14"/>
  <c r="W14" i="14"/>
  <c r="V14" i="14"/>
  <c r="U14" i="14"/>
  <c r="R14" i="14"/>
  <c r="Q14" i="14"/>
  <c r="P14" i="14"/>
  <c r="O14" i="14"/>
  <c r="M14" i="14"/>
  <c r="W13" i="14"/>
  <c r="V13" i="14"/>
  <c r="U13" i="14"/>
  <c r="R13" i="14"/>
  <c r="Q13" i="14"/>
  <c r="P13" i="14"/>
  <c r="O13" i="14"/>
  <c r="M13" i="14"/>
  <c r="W12" i="14"/>
  <c r="V12" i="14"/>
  <c r="U12" i="14"/>
  <c r="R12" i="14"/>
  <c r="Q12" i="14"/>
  <c r="P12" i="14"/>
  <c r="O12" i="14"/>
  <c r="M12" i="14"/>
  <c r="W11" i="14"/>
  <c r="V11" i="14"/>
  <c r="U11" i="14"/>
  <c r="R11" i="14"/>
  <c r="Q11" i="14"/>
  <c r="P11" i="14"/>
  <c r="O11" i="14"/>
  <c r="M11" i="14"/>
  <c r="W10" i="14"/>
  <c r="V10" i="14"/>
  <c r="U10" i="14"/>
  <c r="R10" i="14"/>
  <c r="Q10" i="14"/>
  <c r="P10" i="14"/>
  <c r="O10" i="14"/>
  <c r="M10" i="14"/>
  <c r="W8" i="14"/>
  <c r="V8" i="14"/>
  <c r="U8" i="14"/>
  <c r="R8" i="14"/>
  <c r="Q8" i="14"/>
  <c r="P8" i="14"/>
  <c r="O8" i="14"/>
  <c r="M8" i="14"/>
  <c r="W7" i="14"/>
  <c r="V7" i="14"/>
  <c r="U7" i="14"/>
  <c r="R7" i="14"/>
  <c r="Q7" i="14"/>
  <c r="P7" i="14"/>
  <c r="O7" i="14"/>
  <c r="M7" i="14"/>
  <c r="W6" i="14"/>
  <c r="V6" i="14"/>
  <c r="U6" i="14"/>
  <c r="R6" i="14"/>
  <c r="Q6" i="14"/>
  <c r="P6" i="14"/>
  <c r="O6" i="14"/>
  <c r="M6" i="14"/>
  <c r="V106" i="14" l="1"/>
  <c r="U92" i="14"/>
  <c r="H100" i="14"/>
  <c r="P106" i="14"/>
  <c r="R106" i="14"/>
  <c r="H106" i="14"/>
  <c r="M106" i="14"/>
  <c r="O106" i="14"/>
  <c r="M92" i="14"/>
  <c r="O92" i="14"/>
  <c r="Q92" i="14"/>
  <c r="V92" i="14"/>
  <c r="P100" i="14"/>
  <c r="R100" i="14"/>
  <c r="U100" i="14"/>
  <c r="W100" i="14"/>
  <c r="Q106" i="14"/>
  <c r="R92" i="14"/>
  <c r="W92" i="14"/>
  <c r="U106" i="14"/>
  <c r="W106" i="14"/>
  <c r="P92" i="14"/>
  <c r="H92" i="14"/>
  <c r="M100" i="14"/>
  <c r="O100" i="14"/>
  <c r="Q100" i="14"/>
  <c r="V100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L117" i="13"/>
  <c r="H117" i="13"/>
  <c r="V37" i="13"/>
  <c r="Q37" i="13"/>
  <c r="M37" i="13"/>
  <c r="W77" i="13"/>
  <c r="U77" i="13"/>
  <c r="R77" i="13"/>
  <c r="P77" i="13"/>
  <c r="L77" i="13"/>
  <c r="H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Q117" i="13"/>
  <c r="M117" i="13"/>
  <c r="W37" i="13"/>
  <c r="U37" i="13"/>
  <c r="R37" i="13"/>
  <c r="P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P51" i="13"/>
  <c r="L51" i="13"/>
  <c r="H51" i="13"/>
  <c r="V38" i="13"/>
  <c r="P38" i="13"/>
  <c r="L38" i="13"/>
  <c r="H38" i="13"/>
  <c r="V36" i="13"/>
  <c r="V118" i="13"/>
  <c r="P118" i="13"/>
  <c r="L118" i="13"/>
  <c r="H118" i="13"/>
  <c r="V116" i="13"/>
  <c r="P116" i="13"/>
  <c r="L116" i="13"/>
  <c r="H116" i="13"/>
  <c r="V115" i="13"/>
  <c r="P115" i="13"/>
  <c r="L115" i="13"/>
  <c r="H115" i="13"/>
  <c r="V91" i="13"/>
  <c r="P91" i="13"/>
  <c r="L91" i="13"/>
  <c r="H91" i="13"/>
  <c r="V78" i="13"/>
  <c r="P78" i="13"/>
  <c r="L78" i="13"/>
  <c r="H78" i="13"/>
  <c r="V76" i="13"/>
  <c r="P76" i="13"/>
  <c r="L76" i="13"/>
  <c r="H76" i="13"/>
  <c r="V75" i="13"/>
  <c r="P75" i="13"/>
  <c r="L75" i="13"/>
  <c r="H75" i="13"/>
  <c r="U51" i="13"/>
  <c r="Q51" i="13"/>
  <c r="M51" i="13"/>
  <c r="U38" i="13"/>
  <c r="Q38" i="13"/>
  <c r="M38" i="13"/>
  <c r="P36" i="13"/>
  <c r="L36" i="13"/>
  <c r="H36" i="13"/>
  <c r="V35" i="13"/>
  <c r="P35" i="13"/>
  <c r="L35" i="13"/>
  <c r="H35" i="13"/>
  <c r="V11" i="13"/>
  <c r="P11" i="13"/>
  <c r="L11" i="13"/>
  <c r="H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S8" i="13" s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1" i="13"/>
  <c r="S121" i="13"/>
  <c r="P41" i="13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Q129" i="25"/>
  <c r="P129" i="25"/>
  <c r="Q128" i="25"/>
  <c r="P128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5" i="25"/>
  <c r="X5" i="25"/>
  <c r="Q5" i="25"/>
  <c r="P5" i="25"/>
  <c r="Q4" i="25"/>
  <c r="P4" i="25"/>
  <c r="Q3" i="25"/>
  <c r="P3" i="25"/>
  <c r="C1" i="25"/>
  <c r="F62" i="14" l="1"/>
  <c r="F50" i="14"/>
  <c r="F40" i="14"/>
  <c r="F28" i="14"/>
  <c r="F18" i="14"/>
  <c r="F8" i="14"/>
  <c r="F64" i="14"/>
  <c r="F52" i="14"/>
  <c r="F41" i="14"/>
  <c r="F29" i="14"/>
  <c r="F20" i="14"/>
  <c r="F10" i="14"/>
  <c r="F14" i="14"/>
  <c r="F7" i="14"/>
  <c r="F65" i="14"/>
  <c r="F54" i="14"/>
  <c r="F43" i="14"/>
  <c r="F31" i="14"/>
  <c r="F21" i="14"/>
  <c r="F11" i="14"/>
  <c r="F17" i="14"/>
  <c r="F66" i="14"/>
  <c r="F55" i="14"/>
  <c r="F44" i="14"/>
  <c r="F32" i="14"/>
  <c r="F22" i="14"/>
  <c r="F12" i="14"/>
  <c r="F67" i="14"/>
  <c r="F56" i="14"/>
  <c r="F45" i="14"/>
  <c r="F34" i="14"/>
  <c r="F24" i="14"/>
  <c r="F13" i="14"/>
  <c r="F68" i="14"/>
  <c r="F57" i="14"/>
  <c r="F46" i="14"/>
  <c r="F35" i="14"/>
  <c r="F25" i="14"/>
  <c r="F60" i="14"/>
  <c r="F47" i="14"/>
  <c r="F36" i="14"/>
  <c r="F26" i="14"/>
  <c r="F16" i="14"/>
  <c r="F6" i="14"/>
  <c r="F61" i="14"/>
  <c r="F48" i="14"/>
  <c r="F37" i="14"/>
  <c r="F27" i="14"/>
  <c r="F108" i="14"/>
  <c r="F107" i="14"/>
  <c r="F105" i="14"/>
  <c r="F104" i="14"/>
  <c r="F103" i="14"/>
  <c r="F102" i="14"/>
  <c r="F101" i="14"/>
  <c r="F99" i="14"/>
  <c r="F98" i="14"/>
  <c r="F97" i="14"/>
  <c r="F96" i="14"/>
  <c r="F95" i="14"/>
  <c r="F94" i="14"/>
  <c r="F93" i="14"/>
  <c r="F88" i="14"/>
  <c r="F87" i="14"/>
  <c r="F85" i="14"/>
  <c r="F84" i="14"/>
  <c r="F83" i="14"/>
  <c r="F82" i="14"/>
  <c r="F81" i="14"/>
  <c r="F79" i="14"/>
  <c r="F78" i="14"/>
  <c r="F77" i="14"/>
  <c r="F76" i="14"/>
  <c r="F75" i="14"/>
  <c r="F74" i="14"/>
  <c r="F73" i="14"/>
  <c r="N68" i="14"/>
  <c r="N57" i="14"/>
  <c r="N46" i="14"/>
  <c r="N35" i="14"/>
  <c r="N25" i="14"/>
  <c r="N14" i="14"/>
  <c r="N6" i="14"/>
  <c r="N60" i="14"/>
  <c r="N47" i="14"/>
  <c r="N36" i="14"/>
  <c r="N26" i="14"/>
  <c r="N16" i="14"/>
  <c r="N61" i="14"/>
  <c r="N48" i="14"/>
  <c r="N37" i="14"/>
  <c r="N27" i="14"/>
  <c r="N17" i="14"/>
  <c r="N7" i="14"/>
  <c r="N8" i="14"/>
  <c r="N62" i="14"/>
  <c r="N50" i="14"/>
  <c r="N40" i="14"/>
  <c r="N28" i="14"/>
  <c r="N18" i="14"/>
  <c r="N11" i="14"/>
  <c r="N64" i="14"/>
  <c r="N52" i="14"/>
  <c r="N41" i="14"/>
  <c r="N29" i="14"/>
  <c r="N20" i="14"/>
  <c r="N10" i="14"/>
  <c r="N65" i="14"/>
  <c r="N54" i="14"/>
  <c r="N43" i="14"/>
  <c r="N31" i="14"/>
  <c r="N21" i="14"/>
  <c r="N66" i="14"/>
  <c r="N55" i="14"/>
  <c r="N44" i="14"/>
  <c r="N32" i="14"/>
  <c r="N22" i="14"/>
  <c r="N12" i="14"/>
  <c r="N24" i="14"/>
  <c r="N67" i="14"/>
  <c r="N56" i="14"/>
  <c r="N45" i="14"/>
  <c r="N34" i="14"/>
  <c r="N13" i="14"/>
  <c r="N108" i="14"/>
  <c r="N107" i="14"/>
  <c r="N105" i="14"/>
  <c r="N104" i="14"/>
  <c r="N103" i="14"/>
  <c r="N102" i="14"/>
  <c r="N101" i="14"/>
  <c r="N99" i="14"/>
  <c r="N98" i="14"/>
  <c r="N97" i="14"/>
  <c r="N96" i="14"/>
  <c r="N95" i="14"/>
  <c r="N94" i="14"/>
  <c r="N93" i="14"/>
  <c r="N88" i="14"/>
  <c r="N87" i="14"/>
  <c r="N85" i="14"/>
  <c r="N84" i="14"/>
  <c r="N83" i="14"/>
  <c r="N82" i="14"/>
  <c r="N81" i="14"/>
  <c r="N79" i="14"/>
  <c r="N78" i="14"/>
  <c r="N77" i="14"/>
  <c r="N76" i="14"/>
  <c r="N75" i="14"/>
  <c r="N74" i="14"/>
  <c r="N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N106" i="14" l="1"/>
  <c r="F106" i="14"/>
  <c r="F63" i="14"/>
  <c r="N100" i="14"/>
  <c r="F100" i="14"/>
  <c r="N92" i="14"/>
  <c r="F92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T117" i="13" l="1"/>
  <c r="T77" i="13"/>
  <c r="T91" i="13"/>
  <c r="T118" i="13"/>
  <c r="T36" i="13"/>
  <c r="T116" i="13"/>
  <c r="T76" i="13"/>
  <c r="T38" i="13"/>
  <c r="T115" i="13"/>
  <c r="T11" i="13"/>
  <c r="T119" i="13"/>
  <c r="T78" i="13"/>
  <c r="T35" i="13"/>
  <c r="T37" i="13"/>
  <c r="T79" i="13"/>
  <c r="T75" i="13"/>
  <c r="T51" i="13"/>
  <c r="F115" i="13"/>
  <c r="F75" i="13"/>
  <c r="F51" i="13"/>
  <c r="F77" i="13"/>
  <c r="F37" i="13"/>
  <c r="F35" i="13"/>
  <c r="F119" i="13"/>
  <c r="F116" i="13"/>
  <c r="F76" i="13"/>
  <c r="F36" i="13"/>
  <c r="F79" i="13"/>
  <c r="F118" i="13"/>
  <c r="F78" i="13"/>
  <c r="F11" i="13"/>
  <c r="F38" i="13"/>
  <c r="F117" i="13"/>
  <c r="F91" i="13"/>
  <c r="N77" i="13"/>
  <c r="N79" i="13"/>
  <c r="N116" i="13"/>
  <c r="N38" i="13"/>
  <c r="N118" i="13"/>
  <c r="N51" i="13"/>
  <c r="N115" i="13"/>
  <c r="N37" i="13"/>
  <c r="N75" i="13"/>
  <c r="N36" i="13"/>
  <c r="N117" i="13"/>
  <c r="N76" i="13"/>
  <c r="N119" i="13"/>
  <c r="N78" i="13"/>
  <c r="N11" i="13"/>
  <c r="N91" i="13"/>
  <c r="N35" i="13"/>
  <c r="K117" i="13"/>
  <c r="K91" i="13"/>
  <c r="K51" i="13"/>
  <c r="K77" i="13"/>
  <c r="K79" i="13"/>
  <c r="K116" i="13"/>
  <c r="K118" i="13"/>
  <c r="K115" i="13"/>
  <c r="K78" i="13"/>
  <c r="K75" i="13"/>
  <c r="K38" i="13"/>
  <c r="K36" i="13"/>
  <c r="K11" i="13"/>
  <c r="K76" i="13"/>
  <c r="K37" i="13"/>
  <c r="K119" i="13"/>
  <c r="K35" i="13"/>
  <c r="J37" i="13"/>
  <c r="J79" i="13"/>
  <c r="J118" i="13"/>
  <c r="J91" i="13"/>
  <c r="J76" i="13"/>
  <c r="J77" i="13"/>
  <c r="J119" i="13"/>
  <c r="J116" i="13"/>
  <c r="J115" i="13"/>
  <c r="J78" i="13"/>
  <c r="J75" i="13"/>
  <c r="J51" i="13"/>
  <c r="J38" i="13"/>
  <c r="J36" i="13"/>
  <c r="J35" i="13"/>
  <c r="J11" i="13"/>
  <c r="J117" i="13"/>
  <c r="I119" i="13"/>
  <c r="I78" i="13"/>
  <c r="I51" i="13"/>
  <c r="I116" i="13"/>
  <c r="I36" i="13"/>
  <c r="I35" i="13"/>
  <c r="I75" i="13"/>
  <c r="I77" i="13"/>
  <c r="I117" i="13"/>
  <c r="I79" i="13"/>
  <c r="I91" i="13"/>
  <c r="I11" i="13"/>
  <c r="I118" i="13"/>
  <c r="I115" i="13"/>
  <c r="I37" i="13"/>
  <c r="I76" i="13"/>
  <c r="I38" i="13"/>
  <c r="G116" i="13"/>
  <c r="G76" i="13"/>
  <c r="G36" i="13"/>
  <c r="G77" i="13"/>
  <c r="G119" i="13"/>
  <c r="G118" i="13"/>
  <c r="G78" i="13"/>
  <c r="G38" i="13"/>
  <c r="G115" i="13"/>
  <c r="G79" i="13"/>
  <c r="G91" i="13"/>
  <c r="G11" i="13"/>
  <c r="G37" i="13"/>
  <c r="G75" i="13"/>
  <c r="G35" i="13"/>
  <c r="G117" i="13"/>
  <c r="G51" i="13"/>
  <c r="E37" i="13"/>
  <c r="E117" i="13"/>
  <c r="E76" i="13"/>
  <c r="E7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119" i="13" l="1"/>
  <c r="D11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71" i="14" l="1"/>
  <c r="H49" i="13" s="1"/>
  <c r="H50" i="13" s="1"/>
  <c r="H58" i="14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V86" i="14"/>
  <c r="U86" i="14"/>
  <c r="M86" i="14"/>
  <c r="F59" i="14" l="1"/>
  <c r="N59" i="14"/>
  <c r="V59" i="14"/>
  <c r="M59" i="14"/>
  <c r="O59" i="14"/>
  <c r="U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5" i="14"/>
  <c r="I103" i="14"/>
  <c r="I101" i="14"/>
  <c r="I98" i="14"/>
  <c r="I96" i="14"/>
  <c r="I94" i="14"/>
  <c r="I88" i="14"/>
  <c r="I85" i="14"/>
  <c r="I83" i="14"/>
  <c r="I81" i="14"/>
  <c r="I78" i="14"/>
  <c r="I76" i="14"/>
  <c r="I74" i="14"/>
  <c r="I107" i="14"/>
  <c r="I104" i="14"/>
  <c r="I102" i="14"/>
  <c r="I99" i="14"/>
  <c r="I97" i="14"/>
  <c r="I95" i="14"/>
  <c r="I93" i="14"/>
  <c r="I87" i="14"/>
  <c r="I84" i="14"/>
  <c r="I82" i="14"/>
  <c r="I79" i="14"/>
  <c r="I77" i="14"/>
  <c r="I75" i="14"/>
  <c r="I73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4" i="14"/>
  <c r="G102" i="14"/>
  <c r="G99" i="14"/>
  <c r="G97" i="14"/>
  <c r="G95" i="14"/>
  <c r="G93" i="14"/>
  <c r="G87" i="14"/>
  <c r="G86" i="14" s="1"/>
  <c r="G84" i="14"/>
  <c r="G82" i="14"/>
  <c r="G79" i="14"/>
  <c r="G77" i="14"/>
  <c r="G75" i="14"/>
  <c r="G73" i="14"/>
  <c r="I68" i="14"/>
  <c r="I57" i="14"/>
  <c r="I46" i="14"/>
  <c r="I35" i="14"/>
  <c r="I25" i="14"/>
  <c r="I14" i="14"/>
  <c r="I7" i="14"/>
  <c r="I65" i="14"/>
  <c r="I54" i="14"/>
  <c r="I43" i="14"/>
  <c r="I31" i="14"/>
  <c r="I21" i="14"/>
  <c r="I61" i="14"/>
  <c r="I48" i="14"/>
  <c r="I37" i="14"/>
  <c r="I27" i="14"/>
  <c r="I67" i="14"/>
  <c r="I56" i="14"/>
  <c r="I45" i="14"/>
  <c r="I34" i="14"/>
  <c r="I24" i="14"/>
  <c r="I13" i="14"/>
  <c r="I16" i="14"/>
  <c r="I64" i="14"/>
  <c r="I52" i="14"/>
  <c r="I41" i="14"/>
  <c r="I29" i="14"/>
  <c r="I20" i="14"/>
  <c r="I10" i="14"/>
  <c r="I26" i="14"/>
  <c r="I60" i="14"/>
  <c r="I47" i="14"/>
  <c r="I36" i="14"/>
  <c r="I66" i="14"/>
  <c r="I55" i="14"/>
  <c r="I44" i="14"/>
  <c r="I32" i="14"/>
  <c r="I22" i="14"/>
  <c r="I12" i="14"/>
  <c r="I11" i="14"/>
  <c r="I62" i="14"/>
  <c r="I50" i="14"/>
  <c r="I40" i="14"/>
  <c r="I28" i="14"/>
  <c r="I18" i="14"/>
  <c r="I8" i="14"/>
  <c r="I17" i="14"/>
  <c r="I6" i="14"/>
  <c r="G62" i="14"/>
  <c r="G50" i="14"/>
  <c r="G49" i="14" s="1"/>
  <c r="G40" i="14"/>
  <c r="G28" i="14"/>
  <c r="G18" i="14"/>
  <c r="G8" i="14"/>
  <c r="G14" i="14"/>
  <c r="G68" i="14"/>
  <c r="G57" i="14"/>
  <c r="G46" i="14"/>
  <c r="G35" i="14"/>
  <c r="G25" i="14"/>
  <c r="G21" i="14"/>
  <c r="G65" i="14"/>
  <c r="G54" i="14"/>
  <c r="G43" i="14"/>
  <c r="G31" i="14"/>
  <c r="G11" i="14"/>
  <c r="G61" i="14"/>
  <c r="G48" i="14"/>
  <c r="G37" i="14"/>
  <c r="G27" i="14"/>
  <c r="G17" i="14"/>
  <c r="G7" i="14"/>
  <c r="G20" i="14"/>
  <c r="G10" i="14"/>
  <c r="G67" i="14"/>
  <c r="G56" i="14"/>
  <c r="G45" i="14"/>
  <c r="G34" i="14"/>
  <c r="G24" i="14"/>
  <c r="G13" i="14"/>
  <c r="G64" i="14"/>
  <c r="G52" i="14"/>
  <c r="G41" i="14"/>
  <c r="G29" i="14"/>
  <c r="G60" i="14"/>
  <c r="G47" i="14"/>
  <c r="G36" i="14"/>
  <c r="G26" i="14"/>
  <c r="G16" i="14"/>
  <c r="G6" i="14"/>
  <c r="G66" i="14"/>
  <c r="G55" i="14"/>
  <c r="G44" i="14"/>
  <c r="G32" i="14"/>
  <c r="G22" i="14"/>
  <c r="G12" i="14"/>
  <c r="T108" i="14"/>
  <c r="T98" i="14"/>
  <c r="T85" i="14"/>
  <c r="T76" i="14"/>
  <c r="T107" i="14"/>
  <c r="T97" i="14"/>
  <c r="T84" i="14"/>
  <c r="T75" i="14"/>
  <c r="T105" i="14"/>
  <c r="T96" i="14"/>
  <c r="T83" i="14"/>
  <c r="T74" i="14"/>
  <c r="T104" i="14"/>
  <c r="T95" i="14"/>
  <c r="T82" i="14"/>
  <c r="T73" i="14"/>
  <c r="T103" i="14"/>
  <c r="T94" i="14"/>
  <c r="T81" i="14"/>
  <c r="T102" i="14"/>
  <c r="T93" i="14"/>
  <c r="T79" i="14"/>
  <c r="T101" i="14"/>
  <c r="T88" i="14"/>
  <c r="T78" i="14"/>
  <c r="T99" i="14"/>
  <c r="T87" i="14"/>
  <c r="T77" i="14"/>
  <c r="E108" i="14"/>
  <c r="E105" i="14"/>
  <c r="E103" i="14"/>
  <c r="E101" i="14"/>
  <c r="E98" i="14"/>
  <c r="E96" i="14"/>
  <c r="E94" i="14"/>
  <c r="E88" i="14"/>
  <c r="E85" i="14"/>
  <c r="E83" i="14"/>
  <c r="E81" i="14"/>
  <c r="E78" i="14"/>
  <c r="E76" i="14"/>
  <c r="E74" i="14"/>
  <c r="E107" i="14"/>
  <c r="E104" i="14"/>
  <c r="E102" i="14"/>
  <c r="E99" i="14"/>
  <c r="E97" i="14"/>
  <c r="E95" i="14"/>
  <c r="E93" i="14"/>
  <c r="E87" i="14"/>
  <c r="E84" i="14"/>
  <c r="E82" i="14"/>
  <c r="E79" i="14"/>
  <c r="E77" i="14"/>
  <c r="E75" i="14"/>
  <c r="E73" i="14"/>
  <c r="T65" i="14"/>
  <c r="T55" i="14"/>
  <c r="T34" i="14"/>
  <c r="T25" i="14"/>
  <c r="T61" i="14"/>
  <c r="T28" i="14"/>
  <c r="T54" i="14"/>
  <c r="T44" i="14"/>
  <c r="T24" i="14"/>
  <c r="T14" i="14"/>
  <c r="T48" i="14"/>
  <c r="T18" i="14"/>
  <c r="T43" i="14"/>
  <c r="T32" i="14"/>
  <c r="T13" i="14"/>
  <c r="T10" i="14"/>
  <c r="T37" i="14"/>
  <c r="T8" i="14"/>
  <c r="T31" i="14"/>
  <c r="T22" i="14"/>
  <c r="T7" i="14"/>
  <c r="T60" i="14"/>
  <c r="T27" i="14"/>
  <c r="T20" i="14"/>
  <c r="T21" i="14"/>
  <c r="T6" i="14"/>
  <c r="T68" i="14"/>
  <c r="T47" i="14"/>
  <c r="T17" i="14"/>
  <c r="T64" i="14"/>
  <c r="T11" i="14"/>
  <c r="T67" i="14"/>
  <c r="T57" i="14"/>
  <c r="T36" i="14"/>
  <c r="T62" i="14"/>
  <c r="T52" i="14"/>
  <c r="T12" i="14"/>
  <c r="T56" i="14"/>
  <c r="T46" i="14"/>
  <c r="T26" i="14"/>
  <c r="T50" i="14"/>
  <c r="T41" i="14"/>
  <c r="T66" i="14"/>
  <c r="T45" i="14"/>
  <c r="T35" i="14"/>
  <c r="T16" i="14"/>
  <c r="T40" i="14"/>
  <c r="T29" i="14"/>
  <c r="J108" i="14"/>
  <c r="J98" i="14"/>
  <c r="J85" i="14"/>
  <c r="J76" i="14"/>
  <c r="J107" i="14"/>
  <c r="J97" i="14"/>
  <c r="J84" i="14"/>
  <c r="J75" i="14"/>
  <c r="J105" i="14"/>
  <c r="J96" i="14"/>
  <c r="J83" i="14"/>
  <c r="J74" i="14"/>
  <c r="J104" i="14"/>
  <c r="J95" i="14"/>
  <c r="J82" i="14"/>
  <c r="J73" i="14"/>
  <c r="J103" i="14"/>
  <c r="J94" i="14"/>
  <c r="J81" i="14"/>
  <c r="J102" i="14"/>
  <c r="J93" i="14"/>
  <c r="J79" i="14"/>
  <c r="J101" i="14"/>
  <c r="J88" i="14"/>
  <c r="J78" i="14"/>
  <c r="J99" i="14"/>
  <c r="J87" i="14"/>
  <c r="J77" i="14"/>
  <c r="J66" i="14"/>
  <c r="J45" i="14"/>
  <c r="J35" i="14"/>
  <c r="J6" i="14"/>
  <c r="J62" i="14"/>
  <c r="J29" i="14"/>
  <c r="J55" i="14"/>
  <c r="J34" i="14"/>
  <c r="J25" i="14"/>
  <c r="J7" i="14"/>
  <c r="J50" i="14"/>
  <c r="J20" i="14"/>
  <c r="J44" i="14"/>
  <c r="J24" i="14"/>
  <c r="J14" i="14"/>
  <c r="J61" i="14"/>
  <c r="J40" i="14"/>
  <c r="J10" i="14"/>
  <c r="J32" i="14"/>
  <c r="J13" i="14"/>
  <c r="J60" i="14"/>
  <c r="J48" i="14"/>
  <c r="J28" i="14"/>
  <c r="J21" i="14"/>
  <c r="J22" i="14"/>
  <c r="J8" i="14"/>
  <c r="J47" i="14"/>
  <c r="J37" i="14"/>
  <c r="J18" i="14"/>
  <c r="J65" i="14"/>
  <c r="J12" i="14"/>
  <c r="J68" i="14"/>
  <c r="J36" i="14"/>
  <c r="J27" i="14"/>
  <c r="J64" i="14"/>
  <c r="J54" i="14"/>
  <c r="J67" i="14"/>
  <c r="J57" i="14"/>
  <c r="J26" i="14"/>
  <c r="J17" i="14"/>
  <c r="J52" i="14"/>
  <c r="J43" i="14"/>
  <c r="J56" i="14"/>
  <c r="J46" i="14"/>
  <c r="J16" i="14"/>
  <c r="J11" i="14"/>
  <c r="J41" i="14"/>
  <c r="J31" i="14"/>
  <c r="K101" i="14"/>
  <c r="K85" i="14"/>
  <c r="K83" i="14"/>
  <c r="K103" i="14"/>
  <c r="K88" i="14"/>
  <c r="K76" i="14"/>
  <c r="K74" i="14"/>
  <c r="K102" i="14"/>
  <c r="K78" i="14"/>
  <c r="K107" i="14"/>
  <c r="K94" i="14"/>
  <c r="K93" i="14"/>
  <c r="K99" i="14"/>
  <c r="K97" i="14"/>
  <c r="K81" i="14"/>
  <c r="K79" i="14"/>
  <c r="K87" i="14"/>
  <c r="K84" i="14"/>
  <c r="K104" i="14"/>
  <c r="K77" i="14"/>
  <c r="K75" i="14"/>
  <c r="K95" i="14"/>
  <c r="K108" i="14"/>
  <c r="K105" i="14"/>
  <c r="K82" i="14"/>
  <c r="K98" i="14"/>
  <c r="K96" i="14"/>
  <c r="K73" i="14"/>
  <c r="K68" i="14"/>
  <c r="K6" i="14"/>
  <c r="K41" i="14"/>
  <c r="K65" i="14"/>
  <c r="K57" i="14"/>
  <c r="K56" i="14"/>
  <c r="K66" i="14"/>
  <c r="K17" i="14"/>
  <c r="K37" i="14"/>
  <c r="K62" i="14"/>
  <c r="K55" i="14"/>
  <c r="K47" i="14"/>
  <c r="K60" i="14"/>
  <c r="K10" i="14"/>
  <c r="K35" i="14"/>
  <c r="K54" i="14"/>
  <c r="K46" i="14"/>
  <c r="K40" i="14"/>
  <c r="K50" i="14"/>
  <c r="K67" i="14"/>
  <c r="K32" i="14"/>
  <c r="K45" i="14"/>
  <c r="K44" i="14"/>
  <c r="K31" i="14"/>
  <c r="K43" i="14"/>
  <c r="K64" i="14"/>
  <c r="K25" i="14"/>
  <c r="K36" i="14"/>
  <c r="K29" i="14"/>
  <c r="K24" i="14"/>
  <c r="K34" i="14"/>
  <c r="K61" i="14"/>
  <c r="K22" i="14"/>
  <c r="K28" i="14"/>
  <c r="K27" i="14"/>
  <c r="K21" i="14"/>
  <c r="K26" i="14"/>
  <c r="K52" i="14"/>
  <c r="K14" i="14"/>
  <c r="K16" i="14"/>
  <c r="K20" i="14"/>
  <c r="K18" i="14"/>
  <c r="K13" i="14"/>
  <c r="K48" i="14"/>
  <c r="K7" i="14"/>
  <c r="K8" i="14"/>
  <c r="K12" i="14"/>
  <c r="K11" i="14"/>
  <c r="E66" i="14"/>
  <c r="E40" i="14"/>
  <c r="E65" i="14"/>
  <c r="E48" i="14"/>
  <c r="E45" i="14"/>
  <c r="E6" i="14"/>
  <c r="E55" i="14"/>
  <c r="E28" i="14"/>
  <c r="E54" i="14"/>
  <c r="E37" i="14"/>
  <c r="E34" i="14"/>
  <c r="E12" i="14"/>
  <c r="E44" i="14"/>
  <c r="E18" i="14"/>
  <c r="E43" i="14"/>
  <c r="E27" i="14"/>
  <c r="E64" i="14"/>
  <c r="E60" i="14"/>
  <c r="E32" i="14"/>
  <c r="E14" i="14"/>
  <c r="E31" i="14"/>
  <c r="E17" i="14"/>
  <c r="E52" i="14"/>
  <c r="E47" i="14"/>
  <c r="E22" i="14"/>
  <c r="E68" i="14"/>
  <c r="E21" i="14"/>
  <c r="E7" i="14"/>
  <c r="E41" i="14"/>
  <c r="E36" i="14"/>
  <c r="E25" i="14"/>
  <c r="E57" i="14"/>
  <c r="E11" i="14"/>
  <c r="E13" i="14"/>
  <c r="E29" i="14"/>
  <c r="E26" i="14"/>
  <c r="E62" i="14"/>
  <c r="E46" i="14"/>
  <c r="E24" i="14"/>
  <c r="E67" i="14"/>
  <c r="E20" i="14"/>
  <c r="E16" i="14"/>
  <c r="E50" i="14"/>
  <c r="E49" i="14" s="1"/>
  <c r="E35" i="14"/>
  <c r="E61" i="14"/>
  <c r="E56" i="14"/>
  <c r="E10" i="14"/>
  <c r="E8" i="14"/>
  <c r="S106" i="14"/>
  <c r="S51" i="14"/>
  <c r="S49" i="14"/>
  <c r="S39" i="14"/>
  <c r="L86" i="14"/>
  <c r="L72" i="14"/>
  <c r="L51" i="14"/>
  <c r="N86" i="14"/>
  <c r="G106" i="14" l="1"/>
  <c r="E106" i="14"/>
  <c r="D85" i="14"/>
  <c r="D57" i="14"/>
  <c r="D48" i="14"/>
  <c r="D83" i="14"/>
  <c r="D45" i="14"/>
  <c r="I106" i="14"/>
  <c r="D102" i="14"/>
  <c r="D108" i="14"/>
  <c r="D67" i="14"/>
  <c r="D36" i="14"/>
  <c r="D103" i="14"/>
  <c r="D18" i="14"/>
  <c r="D28" i="14"/>
  <c r="D75" i="14"/>
  <c r="D62" i="14"/>
  <c r="D41" i="14"/>
  <c r="D25" i="14"/>
  <c r="D55" i="14"/>
  <c r="G59" i="14"/>
  <c r="D95" i="14"/>
  <c r="D56" i="14"/>
  <c r="I86" i="14"/>
  <c r="K86" i="14"/>
  <c r="J92" i="14"/>
  <c r="J106" i="14"/>
  <c r="T106" i="14"/>
  <c r="T86" i="14"/>
  <c r="E92" i="14"/>
  <c r="G92" i="14"/>
  <c r="D21" i="14"/>
  <c r="J59" i="14"/>
  <c r="D66" i="14"/>
  <c r="D32" i="14"/>
  <c r="D22" i="14"/>
  <c r="D17" i="14"/>
  <c r="D60" i="14"/>
  <c r="D65" i="14"/>
  <c r="D47" i="14"/>
  <c r="D27" i="14"/>
  <c r="G9" i="14"/>
  <c r="D35" i="14"/>
  <c r="D16" i="14"/>
  <c r="D31" i="14"/>
  <c r="D46" i="14"/>
  <c r="D54" i="14"/>
  <c r="D37" i="14"/>
  <c r="D29" i="14"/>
  <c r="D44" i="14"/>
  <c r="D26" i="14"/>
  <c r="D43" i="14"/>
  <c r="D68" i="14"/>
  <c r="D6" i="14"/>
  <c r="E30" i="14"/>
  <c r="D61" i="14"/>
  <c r="D20" i="14"/>
  <c r="K92" i="14"/>
  <c r="E100" i="14"/>
  <c r="G100" i="14"/>
  <c r="E42" i="14"/>
  <c r="J63" i="14"/>
  <c r="J100" i="14"/>
  <c r="T100" i="14"/>
  <c r="I59" i="14"/>
  <c r="K106" i="14"/>
  <c r="T59" i="14"/>
  <c r="K59" i="14"/>
  <c r="K100" i="14"/>
  <c r="T92" i="14"/>
  <c r="I92" i="14"/>
  <c r="I100" i="14"/>
  <c r="E33" i="14"/>
  <c r="E39" i="14"/>
  <c r="E63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<sst xmlns="http://schemas.openxmlformats.org/spreadsheetml/2006/main" count="7754" uniqueCount="3526">
  <si>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</si>
  <si>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</si>
  <si>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</si>
  <si>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</si>
  <si>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</si>
  <si>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</si>
  <si>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</si>
  <si>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</si>
  <si>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</si>
  <si>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</si>
  <si>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</si>
  <si>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</si>
  <si>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</si>
  <si>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</si>
  <si>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</si>
  <si>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</si>
  <si>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</si>
  <si>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</si>
  <si>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</si>
  <si>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</si>
  <si>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</si>
  <si>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</si>
  <si>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</si>
  <si>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</si>
  <si>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</si>
  <si>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</si>
  <si>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</si>
  <si>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</si>
  <si>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</si>
  <si>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</si>
  <si>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</si>
  <si>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</si>
  <si>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</si>
  <si>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</si>
  <si>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</si>
  <si>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</si>
  <si>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</si>
  <si>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</si>
  <si>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</si>
  <si>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</si>
  <si>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</si>
  <si>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</si>
  <si>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</si>
  <si>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</si>
  <si>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</si>
  <si>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</si>
  <si>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</si>
  <si>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</si>
  <si>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</si>
  <si>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</si>
  <si>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</si>
  <si>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</si>
  <si>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</si>
  <si>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</si>
  <si>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</si>
  <si>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</si>
  <si>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</si>
  <si>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</si>
  <si>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</si>
  <si>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</si>
  <si>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</si>
  <si>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</si>
  <si>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</si>
  <si>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</si>
  <si>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</si>
  <si>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</si>
  <si>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</si>
  <si>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</si>
  <si>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</si>
  <si>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</si>
  <si>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</si>
  <si>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</si>
  <si>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</si>
  <si>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</si>
  <si>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</si>
  <si>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</si>
  <si>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</si>
  <si>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</si>
  <si>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</si>
  <si>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</si>
  <si>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</si>
  <si>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</si>
  <si>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</si>
  <si>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</si>
  <si>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</si>
  <si>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</si>
  <si>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</si>
  <si>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</si>
  <si>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</si>
  <si>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</si>
  <si>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</si>
  <si>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</si>
  <si>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</si>
  <si>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</si>
  <si>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</si>
  <si>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</si>
  <si>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</si>
  <si>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</si>
  <si>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</si>
  <si>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</si>
  <si>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</si>
  <si>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</si>
  <si>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</si>
  <si>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</si>
  <si>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</si>
  <si>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</si>
  <si>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</si>
  <si>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</si>
  <si>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</si>
  <si>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</si>
  <si>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</si>
  <si>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</si>
  <si>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</si>
  <si>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</si>
  <si>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</si>
  <si>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</si>
  <si>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</si>
  <si>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</si>
  <si>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</si>
  <si>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</si>
  <si>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</si>
  <si>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</si>
  <si>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</si>
  <si>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</si>
  <si>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</si>
  <si>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</si>
  <si>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</si>
  <si>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</si>
  <si>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</si>
  <si>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</si>
  <si>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</si>
  <si>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</si>
  <si>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</si>
  <si>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</si>
  <si>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</si>
  <si>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</si>
  <si>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</si>
  <si>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</si>
  <si>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</si>
  <si>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</si>
  <si>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</si>
  <si>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</si>
  <si>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</si>
  <si>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</si>
  <si>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</si>
  <si>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</si>
  <si>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</si>
  <si>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</si>
  <si>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</si>
  <si>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</si>
  <si>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</si>
  <si>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</si>
  <si>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</si>
  <si>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</si>
  <si>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</si>
  <si>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</si>
  <si>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</si>
  <si>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</si>
  <si>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</si>
  <si>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</si>
  <si>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</si>
  <si>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</si>
  <si>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</si>
  <si>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</si>
  <si>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</si>
  <si>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</si>
  <si>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</si>
  <si>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</si>
  <si>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</si>
  <si>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</si>
  <si>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</si>
  <si>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</si>
  <si>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</si>
  <si>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</si>
  <si>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</si>
  <si>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</si>
  <si>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</si>
  <si>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</si>
  <si>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</si>
  <si>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</si>
  <si>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</si>
  <si>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</si>
  <si>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</si>
  <si>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</si>
  <si>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</si>
  <si>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</si>
  <si>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</si>
  <si>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</si>
  <si>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</si>
  <si>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</si>
  <si>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</si>
  <si>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</si>
  <si>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</si>
  <si>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</si>
  <si>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</si>
  <si>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</si>
  <si>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</si>
  <si>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</si>
  <si>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</si>
  <si>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</si>
  <si>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</si>
  <si>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</si>
  <si>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</si>
  <si>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</si>
  <si>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</si>
  <si>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</si>
  <si>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</si>
  <si>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</si>
  <si>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</si>
  <si>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</si>
  <si>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</si>
  <si>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</si>
  <si>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</si>
  <si>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</si>
  <si>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</si>
  <si>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</si>
  <si>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</si>
  <si>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</si>
  <si>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</si>
  <si>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</si>
  <si>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</si>
  <si>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</si>
  <si>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</si>
  <si>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</si>
  <si>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</si>
  <si>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</si>
  <si>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</si>
  <si>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</si>
  <si>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</si>
  <si>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</si>
  <si>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</si>
  <si>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</si>
  <si>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</si>
  <si>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</si>
  <si>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</si>
  <si>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</si>
  <si>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</si>
  <si>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</si>
  <si>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</si>
  <si>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</si>
  <si>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</si>
  <si>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</si>
  <si>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</si>
  <si>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</si>
  <si>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</si>
  <si>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</si>
  <si>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</si>
  <si>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</si>
  <si>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</si>
  <si>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</si>
  <si>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</si>
  <si>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</si>
  <si>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</si>
  <si>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</si>
  <si>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</si>
  <si>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</si>
  <si>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</si>
  <si>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</si>
  <si>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</si>
  <si>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</si>
  <si>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</si>
  <si>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</si>
  <si>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</si>
  <si>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</si>
  <si>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</si>
  <si>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</si>
  <si>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</si>
  <si>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</si>
  <si>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</si>
  <si>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</si>
  <si>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</si>
  <si>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</si>
  <si>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</si>
  <si>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</si>
  <si>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</si>
  <si>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</si>
  <si>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</si>
  <si>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</si>
  <si>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</si>
  <si>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</si>
  <si>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</si>
  <si>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</si>
  <si>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</si>
  <si>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</si>
  <si>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</si>
  <si>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</si>
  <si>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</si>
  <si>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</si>
  <si>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</si>
  <si>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</si>
  <si>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</si>
  <si>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</si>
  <si>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</si>
  <si>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</si>
  <si>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</si>
  <si>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</si>
  <si>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</si>
  <si>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</si>
  <si>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</si>
  <si>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</si>
  <si>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</si>
  <si>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</si>
  <si>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</si>
  <si>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</si>
  <si>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</si>
  <si>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</si>
  <si>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</si>
  <si>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</si>
  <si>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</si>
  <si>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</si>
  <si>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</si>
  <si>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</si>
  <si>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</si>
  <si>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</si>
  <si>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</si>
  <si>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</si>
  <si>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</si>
  <si>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</si>
  <si>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</si>
  <si>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</si>
  <si>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</si>
  <si>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</si>
  <si>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</si>
  <si>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</si>
  <si>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</si>
  <si>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</si>
  <si>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</si>
  <si>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</si>
  <si>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</si>
  <si>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</si>
  <si>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</si>
  <si>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</si>
  <si>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</si>
  <si>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</si>
  <si>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</si>
  <si>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</si>
  <si>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</si>
  <si>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</si>
  <si>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</si>
  <si>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</si>
  <si>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</si>
  <si>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</si>
  <si>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</si>
  <si>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</si>
  <si>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</si>
  <si>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</si>
  <si>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</si>
  <si>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</si>
  <si>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</si>
  <si>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</si>
  <si>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</si>
  <si>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</si>
  <si>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</si>
  <si>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</si>
  <si>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</si>
  <si>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</si>
  <si>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</si>
  <si>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</si>
  <si>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</si>
  <si>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</si>
  <si>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</si>
  <si>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</si>
  <si>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</si>
  <si>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</si>
  <si>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</si>
  <si>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</si>
  <si>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</si>
  <si>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</si>
  <si>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</si>
  <si>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</si>
  <si>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</si>
  <si>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</si>
  <si>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</si>
  <si>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</si>
  <si>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</si>
  <si>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</si>
  <si>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</si>
  <si>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</si>
  <si>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</si>
  <si>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</si>
  <si>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</si>
  <si>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</si>
  <si>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</si>
  <si>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</si>
  <si>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</si>
  <si>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</si>
  <si>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</si>
  <si>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</si>
  <si>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</si>
  <si>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</si>
  <si>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</si>
  <si>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</si>
  <si>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</si>
  <si>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</si>
  <si>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</si>
  <si>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</si>
  <si>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</si>
  <si>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</si>
  <si>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</si>
  <si>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</si>
  <si>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</si>
  <si>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</si>
  <si>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</si>
  <si>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</si>
  <si>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</si>
  <si>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</si>
  <si>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</si>
  <si>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</si>
  <si>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</si>
  <si>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</si>
  <si>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</si>
  <si>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</si>
  <si>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</si>
  <si>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</si>
  <si>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</si>
  <si>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</si>
  <si>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</si>
  <si>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</si>
  <si>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</si>
  <si>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</si>
  <si>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</si>
  <si>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</si>
  <si>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</si>
  <si>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</si>
  <si>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</si>
  <si>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</si>
  <si>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</si>
  <si>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</si>
  <si>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</si>
  <si>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</si>
  <si>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</si>
  <si>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</si>
  <si>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</si>
  <si>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</si>
  <si>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</si>
  <si>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</si>
  <si>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</si>
  <si>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</si>
  <si>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</si>
  <si>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</si>
  <si>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</si>
  <si>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</si>
  <si>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</si>
  <si>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</si>
  <si>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</si>
  <si>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</si>
  <si>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</si>
  <si>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</si>
  <si>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</si>
  <si>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</si>
  <si>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</si>
  <si>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</si>
  <si>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</si>
  <si>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</si>
  <si>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</si>
  <si>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</si>
  <si>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</si>
  <si>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</si>
  <si>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</si>
  <si>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</si>
  <si>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</si>
  <si>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</si>
  <si>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</si>
  <si>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</si>
  <si>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</si>
  <si>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</si>
  <si>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</si>
  <si>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</si>
  <si>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</si>
  <si>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</si>
  <si>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</si>
  <si>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</si>
  <si>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</si>
  <si>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</si>
  <si>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</si>
  <si>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</si>
  <si>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</si>
  <si>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</si>
  <si>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</si>
  <si>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</si>
  <si>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</si>
  <si>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</si>
  <si>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</si>
  <si>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</si>
  <si>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</si>
  <si>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</si>
  <si>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</si>
  <si>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</si>
  <si>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</si>
  <si>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</si>
  <si>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</si>
  <si>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</si>
  <si>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</si>
  <si>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</si>
  <si>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</si>
  <si>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</si>
  <si>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</si>
  <si>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</si>
  <si>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</si>
  <si>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</si>
  <si>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</si>
  <si>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</si>
  <si>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</si>
  <si>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</si>
  <si>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</si>
  <si>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</si>
  <si>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</si>
  <si>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</si>
  <si>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</si>
  <si>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</si>
  <si>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</si>
  <si>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</si>
  <si>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</si>
  <si>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</si>
  <si>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</si>
  <si>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</si>
  <si>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</si>
  <si>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</si>
  <si>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</si>
  <si>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</si>
  <si>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</si>
  <si>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</si>
  <si>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</si>
  <si>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</si>
  <si>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</si>
  <si>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</si>
  <si>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</si>
  <si>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</si>
  <si>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</si>
  <si>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</si>
  <si>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</si>
  <si>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</si>
  <si>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</si>
  <si>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</si>
  <si>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</si>
  <si>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</si>
  <si>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</si>
  <si>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</si>
  <si>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</si>
  <si>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</si>
  <si>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</si>
  <si>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</si>
  <si>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</si>
  <si>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</si>
  <si>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</si>
  <si>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</si>
  <si>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</si>
  <si>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</si>
  <si>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</si>
  <si>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</si>
  <si>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</si>
  <si>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</si>
  <si>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</si>
  <si>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</si>
  <si>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</si>
  <si>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</si>
  <si>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</si>
  <si>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</si>
  <si>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</si>
  <si>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</si>
  <si>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</si>
  <si>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</si>
  <si>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</si>
  <si>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</si>
  <si>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</si>
  <si>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</si>
  <si>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</si>
  <si>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</si>
  <si>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</si>
  <si>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</si>
  <si>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</si>
  <si>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</si>
  <si>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</si>
  <si>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</si>
  <si>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</si>
  <si>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</si>
  <si>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</si>
  <si>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</si>
  <si>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</si>
  <si>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</si>
  <si>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</si>
  <si>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</si>
  <si>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</si>
  <si>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</si>
  <si>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</si>
  <si>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</si>
  <si>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</si>
  <si>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</si>
  <si>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</si>
  <si>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</si>
  <si>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</si>
  <si>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</si>
  <si>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</si>
  <si>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</si>
  <si>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</si>
  <si>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</si>
  <si>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</si>
  <si>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</si>
  <si>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</si>
  <si>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</si>
  <si>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</si>
  <si>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</si>
  <si>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</si>
  <si>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</si>
  <si>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</si>
  <si>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</si>
  <si>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</si>
  <si>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</si>
  <si>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</si>
  <si>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</si>
  <si>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</si>
  <si>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</si>
  <si>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</si>
  <si>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</si>
  <si>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</si>
  <si>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</si>
  <si>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</si>
  <si>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</si>
  <si>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</si>
  <si>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</si>
  <si>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</si>
  <si>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</si>
  <si>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</si>
  <si>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</si>
  <si>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</si>
  <si>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</si>
  <si>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</si>
  <si>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</si>
  <si>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</si>
  <si>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</si>
  <si>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</si>
  <si>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</si>
  <si>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</si>
  <si>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</si>
  <si>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</si>
  <si>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</si>
  <si>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</si>
  <si>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</si>
  <si>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</si>
  <si>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</si>
  <si>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</si>
  <si>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</si>
  <si>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</si>
  <si>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</si>
  <si>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</si>
  <si>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</si>
  <si>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</si>
  <si>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</si>
  <si>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</si>
  <si>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</si>
  <si>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</si>
  <si>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</si>
  <si>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</si>
  <si>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</si>
  <si>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</si>
  <si>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</si>
  <si>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</si>
  <si>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</si>
  <si>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</si>
  <si>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</si>
  <si>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</si>
  <si>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</si>
  <si>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</si>
  <si>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</si>
  <si>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</si>
  <si>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</si>
  <si>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</si>
  <si>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</si>
  <si>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</si>
  <si>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</si>
  <si>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</si>
  <si>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</si>
  <si>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</si>
  <si>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</si>
  <si>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</si>
  <si>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</si>
  <si>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</si>
  <si>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</si>
  <si>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</si>
  <si>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</si>
  <si>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</si>
  <si>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</si>
  <si>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</si>
  <si>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</si>
  <si>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</si>
  <si>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</si>
  <si>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</si>
  <si>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</si>
  <si>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</si>
  <si>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</si>
  <si>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</si>
  <si>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</si>
  <si>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</si>
  <si>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</si>
  <si>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</si>
  <si>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</si>
  <si>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</si>
  <si>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</si>
  <si>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</si>
  <si>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</si>
  <si>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</si>
  <si>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</si>
  <si>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</si>
  <si>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</si>
  <si>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</si>
  <si>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</si>
  <si>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</si>
  <si>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</si>
  <si>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</si>
  <si>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</si>
  <si>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</si>
  <si>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</si>
  <si>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</si>
  <si>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</si>
  <si>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</si>
  <si>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</si>
  <si>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</si>
  <si>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</si>
  <si>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</si>
  <si>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</si>
  <si>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</si>
  <si>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</si>
  <si>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</si>
  <si>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</si>
  <si>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</si>
  <si>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</si>
  <si>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</si>
  <si>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</si>
  <si>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</si>
  <si>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</si>
  <si>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</si>
  <si>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</si>
  <si>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</si>
  <si>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</si>
  <si>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</si>
  <si>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</si>
  <si>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</si>
  <si>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</si>
  <si>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</si>
  <si>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</si>
  <si>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</si>
  <si>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</si>
  <si>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</si>
  <si>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</si>
  <si>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</si>
  <si>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</si>
  <si>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</si>
  <si>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</si>
  <si>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</si>
  <si>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</si>
  <si>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</si>
  <si>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</si>
  <si>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</si>
  <si>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</si>
  <si>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</si>
  <si>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</si>
  <si>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</si>
  <si>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</si>
  <si>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</si>
  <si>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</si>
  <si>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</si>
  <si>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</si>
  <si>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</si>
  <si>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</si>
  <si>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</si>
  <si>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</si>
  <si>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</si>
  <si>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</si>
  <si>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</si>
  <si>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</si>
  <si>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</si>
  <si>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</si>
  <si>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</si>
  <si>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</si>
  <si>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</si>
  <si>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</si>
  <si>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</si>
  <si>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</si>
  <si>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</si>
  <si>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</si>
  <si>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</si>
  <si>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</si>
  <si>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</si>
  <si>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</si>
  <si>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</si>
  <si>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</si>
  <si>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</si>
  <si>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</si>
  <si>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</si>
  <si>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</si>
  <si>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</si>
  <si>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</si>
  <si>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</si>
  <si>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</si>
  <si>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</si>
  <si>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</si>
  <si>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</si>
  <si>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</si>
  <si>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</si>
  <si>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</si>
  <si>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</si>
  <si>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</si>
  <si>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</si>
  <si>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</si>
  <si>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</si>
  <si>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</si>
  <si>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</si>
  <si>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</si>
  <si>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</si>
  <si>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</si>
  <si>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</si>
  <si>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</si>
  <si>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</si>
  <si>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</si>
  <si>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</si>
  <si>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</si>
  <si>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</si>
  <si>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</si>
  <si>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</si>
  <si>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</si>
  <si>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</si>
  <si>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</si>
  <si>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</si>
  <si>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</si>
  <si>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</si>
  <si>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</si>
  <si>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</si>
  <si>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</si>
  <si>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</si>
  <si>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</si>
  <si>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</si>
  <si>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</si>
  <si>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</si>
  <si>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</si>
  <si>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</si>
  <si>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</si>
  <si>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</si>
  <si>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</si>
  <si>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</si>
  <si>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</si>
  <si>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</si>
  <si>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</si>
  <si>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</si>
  <si>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</si>
  <si>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</si>
  <si>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</si>
  <si>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</si>
  <si>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</si>
  <si>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</si>
  <si>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</si>
  <si>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</si>
  <si>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</si>
  <si>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</si>
  <si>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</si>
  <si>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</si>
  <si>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</si>
  <si>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</si>
  <si>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</si>
  <si>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</si>
  <si>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</si>
  <si>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</si>
  <si>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</si>
  <si>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</si>
  <si>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</si>
  <si>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</si>
  <si>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</si>
  <si>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</si>
  <si>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</si>
  <si>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</si>
  <si>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</si>
  <si>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</si>
  <si>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</si>
  <si>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</si>
  <si>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</si>
  <si>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</si>
  <si>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</si>
  <si>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</si>
  <si>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</si>
  <si>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</si>
  <si>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</si>
  <si>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</si>
  <si>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</si>
  <si>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</si>
  <si>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</si>
  <si>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</si>
  <si>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</si>
  <si>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</si>
  <si>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</si>
  <si>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</si>
  <si>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</si>
  <si>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</si>
  <si>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</si>
  <si>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</si>
  <si>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</si>
  <si>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</si>
  <si>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</si>
  <si>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</si>
  <si>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</si>
  <si>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</si>
  <si>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</si>
  <si>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</si>
  <si>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</si>
  <si>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</si>
  <si>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</si>
  <si>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</si>
  <si>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</si>
  <si>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</si>
  <si>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</si>
  <si>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</si>
  <si>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</si>
  <si>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</si>
  <si>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</si>
  <si>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</si>
  <si>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</si>
  <si>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</si>
  <si>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</si>
  <si>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</si>
  <si>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</si>
  <si>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</si>
  <si>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</si>
  <si>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</si>
  <si>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</si>
  <si>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</si>
  <si>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</si>
  <si>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</si>
  <si>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</si>
  <si>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</si>
  <si>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</si>
  <si>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</si>
  <si>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</si>
  <si>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</si>
  <si>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</si>
  <si>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</si>
  <si>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</si>
  <si>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</si>
  <si>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</si>
  <si>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</si>
  <si>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</si>
  <si>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</si>
  <si>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</si>
  <si>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</si>
  <si>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</si>
  <si>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</si>
  <si>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</si>
  <si>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</si>
  <si>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</si>
  <si>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</si>
  <si>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</si>
  <si>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</si>
  <si>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</si>
  <si>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</si>
  <si>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</si>
  <si>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</si>
  <si>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</si>
  <si>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</si>
  <si>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</si>
  <si>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</si>
  <si>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</si>
  <si>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</si>
  <si>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</si>
  <si>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</si>
  <si>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</si>
  <si>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</si>
  <si>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</si>
  <si>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</si>
  <si>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</si>
  <si>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</si>
  <si>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</si>
  <si>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</si>
  <si>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</si>
  <si>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</si>
  <si>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</si>
  <si>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</si>
  <si>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</si>
  <si>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</si>
  <si>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</si>
  <si>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</si>
  <si>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</si>
  <si>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</si>
  <si>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</si>
  <si>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</si>
  <si>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</si>
  <si>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</si>
  <si>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</si>
  <si>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</si>
  <si>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</si>
  <si>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</si>
  <si>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</si>
  <si>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</si>
  <si>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</si>
  <si>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</si>
  <si>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</si>
  <si>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</si>
  <si>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</si>
  <si>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</si>
  <si>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</si>
  <si>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</si>
  <si>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</si>
  <si>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</si>
  <si>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</si>
  <si>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</si>
  <si>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</si>
  <si>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</si>
  <si>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</si>
  <si>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</si>
  <si>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</si>
  <si>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</si>
  <si>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</si>
  <si>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</si>
  <si>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</si>
  <si>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</si>
  <si>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</si>
  <si>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</si>
  <si>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</si>
  <si>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</si>
  <si>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</si>
  <si>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</si>
  <si>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</si>
  <si>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</si>
  <si>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</si>
  <si>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</si>
  <si>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</si>
  <si>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</si>
  <si>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</si>
  <si>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</si>
  <si>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</si>
  <si>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</si>
  <si>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</si>
  <si>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</si>
  <si>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</si>
  <si>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</si>
  <si>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</si>
  <si>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</si>
  <si>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</si>
  <si>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</si>
  <si>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</si>
  <si>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</si>
  <si>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</si>
  <si>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</si>
  <si>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</si>
  <si>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</si>
  <si>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</si>
  <si>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</si>
  <si>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</si>
  <si>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</si>
  <si>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</si>
  <si>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</si>
  <si>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</si>
  <si>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</si>
  <si>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</si>
  <si>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</si>
  <si>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</si>
  <si>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</si>
  <si>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</si>
  <si>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</si>
  <si>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</si>
  <si>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</si>
  <si>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</si>
  <si>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</si>
  <si>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</si>
  <si>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</si>
  <si>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</si>
  <si>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</si>
  <si>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</si>
  <si>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</si>
  <si>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</si>
  <si>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</si>
  <si>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</si>
  <si>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</si>
  <si>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</si>
  <si>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</si>
  <si>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</si>
  <si>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</si>
  <si>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</si>
  <si>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</si>
  <si>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</si>
  <si>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</si>
  <si>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</si>
  <si>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</si>
  <si>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</si>
  <si>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</si>
  <si>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</si>
  <si>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</si>
  <si>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</si>
  <si>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</si>
  <si>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</si>
  <si>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</si>
  <si>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</si>
  <si>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</si>
  <si>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</si>
  <si>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</si>
  <si>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</si>
  <si>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</si>
  <si>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</si>
  <si>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</si>
  <si>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</si>
  <si>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</si>
  <si>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</si>
  <si>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</si>
  <si>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</si>
  <si>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</si>
  <si>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</si>
  <si>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</si>
  <si>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</si>
  <si>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</si>
  <si>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</si>
  <si>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</si>
  <si>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</si>
  <si>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</si>
  <si>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</si>
  <si>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</si>
  <si>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</si>
  <si>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</si>
  <si>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</si>
  <si>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</si>
  <si>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</si>
  <si>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</si>
  <si>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</si>
  <si>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</si>
  <si>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</si>
  <si>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</si>
  <si>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</si>
  <si>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</si>
  <si>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</si>
  <si>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</si>
  <si>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</si>
  <si>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</si>
  <si>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</si>
  <si>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</si>
  <si>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</si>
  <si>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</si>
  <si>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</si>
  <si>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</si>
  <si>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</si>
  <si>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</si>
  <si>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</si>
  <si>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</si>
  <si>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</si>
  <si>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</si>
  <si>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</si>
  <si>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</si>
  <si>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</si>
  <si>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</si>
  <si>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</si>
  <si>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</si>
  <si>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</si>
  <si>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</si>
  <si>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</si>
  <si>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</si>
  <si>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</si>
  <si>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</si>
  <si>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</si>
  <si>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</si>
  <si>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</si>
  <si>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</si>
  <si>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</si>
  <si>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</si>
  <si>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</si>
  <si>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</si>
  <si>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</si>
  <si>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</si>
  <si>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</si>
  <si>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</si>
  <si>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</si>
  <si>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</si>
  <si>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</si>
  <si>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</si>
  <si>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</si>
  <si>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</si>
  <si>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</si>
  <si>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</si>
  <si>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</si>
  <si>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</si>
  <si>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</si>
  <si>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</si>
  <si>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</si>
  <si>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</si>
  <si>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</si>
  <si>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</si>
  <si>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</si>
  <si>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</si>
  <si>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</si>
  <si>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</si>
  <si>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</si>
  <si>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</si>
  <si>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</si>
  <si>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</si>
  <si>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</si>
  <si>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</si>
  <si>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</si>
  <si>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</si>
  <si>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</si>
  <si>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</si>
  <si>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</si>
  <si>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</si>
  <si>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</si>
  <si>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</si>
  <si>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</si>
  <si>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</si>
  <si>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</si>
  <si>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</si>
  <si>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</si>
  <si>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</si>
  <si>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</si>
  <si>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</si>
  <si>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</si>
  <si>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</si>
  <si>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</si>
  <si>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</si>
  <si>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</si>
  <si>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</si>
  <si>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</si>
  <si>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</si>
  <si>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</si>
  <si>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</si>
  <si>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</si>
  <si>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</si>
  <si>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</si>
  <si>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</si>
  <si>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</si>
  <si>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</si>
  <si>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</si>
  <si>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</si>
  <si>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</si>
  <si>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</si>
  <si>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</si>
  <si>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</si>
  <si>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</si>
  <si>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</si>
  <si>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</si>
  <si>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</si>
  <si>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</si>
  <si>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</si>
  <si>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</si>
  <si>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</si>
  <si>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</si>
  <si>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</si>
  <si>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</si>
  <si>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</si>
  <si>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</si>
  <si>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</si>
  <si>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</si>
  <si>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</si>
  <si>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</si>
  <si>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</si>
  <si>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</si>
  <si>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</si>
  <si>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</si>
  <si>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</si>
  <si>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</si>
  <si>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</si>
  <si>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</si>
  <si>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</si>
  <si>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</si>
  <si>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</si>
  <si>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</si>
  <si>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</si>
  <si>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</si>
  <si>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</si>
  <si>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</si>
  <si>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</si>
  <si>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</si>
  <si>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</si>
  <si>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</si>
  <si>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</si>
  <si>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</si>
  <si>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</si>
  <si>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</si>
  <si>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</si>
  <si>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</si>
  <si>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</si>
  <si>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</si>
  <si>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</si>
  <si>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</si>
  <si>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</si>
  <si>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</si>
  <si>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</si>
  <si>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</si>
  <si>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</si>
  <si>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</si>
  <si>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</si>
  <si>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</si>
  <si>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</si>
  <si>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</si>
  <si>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</si>
  <si>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</si>
  <si>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</si>
  <si>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</si>
  <si>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</si>
  <si>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</si>
  <si>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</si>
  <si>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</si>
  <si>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</si>
  <si>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</si>
  <si>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</si>
  <si>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</si>
  <si>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</si>
  <si>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</si>
  <si>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</si>
  <si>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</si>
  <si>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</si>
  <si>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</si>
  <si>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</si>
  <si>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</si>
  <si>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</si>
  <si>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</si>
  <si>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</si>
  <si>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</si>
  <si>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</si>
  <si>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</si>
  <si>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</si>
  <si>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</si>
  <si>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</si>
  <si>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</si>
  <si>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</si>
  <si>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</si>
  <si>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</si>
  <si>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</si>
  <si>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</si>
  <si>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</si>
  <si>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</si>
  <si>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</si>
  <si>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</si>
  <si>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</si>
  <si>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</si>
  <si>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</si>
  <si>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</si>
  <si>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</si>
  <si>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</si>
  <si>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</si>
  <si>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</si>
  <si>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</si>
  <si>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</si>
  <si>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</si>
  <si>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</si>
  <si>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</si>
  <si>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</si>
  <si>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</si>
  <si>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</si>
  <si>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</si>
  <si>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</si>
  <si>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</si>
  <si>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</si>
  <si>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</si>
  <si>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</si>
  <si>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</si>
  <si>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</si>
  <si>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</si>
  <si>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</si>
  <si>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</si>
  <si>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</si>
  <si>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</si>
  <si>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</si>
  <si>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</si>
  <si>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</si>
  <si>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</si>
  <si>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</si>
  <si>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</si>
  <si>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</si>
  <si>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</si>
  <si>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</si>
  <si>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</si>
  <si>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</si>
  <si>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</si>
  <si>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</si>
  <si>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</si>
  <si>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</si>
  <si>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</si>
  <si>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</si>
  <si>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</si>
  <si>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</si>
  <si>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</si>
  <si>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</si>
  <si>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</si>
  <si>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</si>
  <si>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</si>
  <si>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</si>
  <si>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</si>
  <si>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</si>
  <si>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</si>
  <si>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</si>
  <si>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</si>
  <si>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</si>
  <si>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</si>
  <si>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</si>
  <si>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</si>
  <si>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</si>
  <si>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</si>
  <si>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</si>
  <si>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</si>
  <si>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</si>
  <si>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</si>
  <si>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</si>
  <si>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</si>
  <si>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</si>
  <si>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</si>
  <si>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</si>
  <si>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</si>
  <si>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</si>
  <si>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</si>
  <si>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</si>
  <si>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</si>
  <si>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</si>
  <si>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</si>
  <si>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</si>
  <si>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</si>
  <si>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</si>
  <si>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</si>
  <si>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</si>
  <si>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</si>
  <si>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</si>
  <si>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</si>
  <si>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</si>
  <si>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</si>
  <si>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</si>
  <si>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</si>
  <si>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</si>
  <si>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</si>
  <si>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</si>
  <si>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</si>
  <si>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</si>
  <si>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</si>
  <si>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</si>
  <si>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</si>
  <si>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</si>
  <si>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</si>
  <si>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</si>
  <si>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</si>
  <si>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</si>
  <si>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</si>
  <si>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</si>
  <si>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</si>
  <si>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</si>
  <si>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</si>
  <si>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</si>
  <si>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</si>
  <si>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</si>
  <si>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</si>
  <si>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</si>
  <si>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</si>
  <si>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</si>
  <si>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</si>
  <si>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</si>
  <si>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</si>
  <si>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</si>
  <si>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</si>
  <si>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</si>
  <si>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</si>
  <si>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</si>
  <si>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</si>
  <si>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</si>
  <si>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</si>
  <si>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</si>
  <si>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</si>
  <si>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</si>
  <si>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</si>
  <si>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</si>
  <si>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</si>
  <si>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</si>
  <si>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</si>
  <si>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</si>
  <si>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</si>
  <si>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</si>
  <si>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</si>
  <si>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</si>
  <si>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</si>
  <si>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</si>
  <si>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</si>
  <si>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</si>
  <si>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</si>
  <si>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</si>
  <si>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</si>
  <si>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</si>
  <si>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</si>
  <si>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</si>
  <si>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</si>
  <si>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</si>
  <si>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</si>
  <si>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</si>
  <si>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</si>
  <si>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</si>
  <si>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</si>
  <si>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</si>
  <si>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</si>
  <si>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</si>
  <si>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</si>
  <si>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</si>
  <si>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</si>
  <si>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</si>
  <si>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</si>
  <si>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</si>
  <si>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</si>
  <si>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</si>
  <si>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</si>
  <si>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</si>
  <si>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</si>
  <si>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</si>
  <si>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</si>
  <si>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</si>
  <si>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</si>
  <si>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</si>
  <si>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</si>
  <si>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</si>
  <si>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</si>
  <si>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</si>
  <si>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</si>
  <si>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</si>
  <si>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</si>
  <si>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</si>
  <si>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</si>
  <si>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</si>
  <si>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</si>
  <si>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</si>
  <si>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</si>
  <si>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</si>
  <si>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</si>
  <si>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</si>
  <si>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</si>
  <si>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</si>
  <si>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</si>
  <si>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</si>
  <si>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</si>
  <si>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</si>
  <si>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</si>
  <si>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</si>
  <si>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</si>
  <si>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</si>
  <si>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</si>
  <si>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</si>
  <si>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</si>
  <si>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</si>
  <si>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</si>
  <si>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</si>
  <si>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</si>
  <si>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</si>
  <si>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</si>
  <si>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</si>
  <si>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</si>
  <si>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</si>
  <si>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</si>
  <si>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</si>
  <si>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</si>
  <si>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</si>
  <si>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</si>
  <si>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</si>
  <si>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</si>
  <si>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</si>
  <si>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</si>
  <si>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</si>
  <si>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</si>
  <si>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</si>
  <si>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</si>
  <si>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</si>
  <si>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</si>
  <si>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</si>
  <si>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</si>
  <si>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</si>
  <si>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</si>
  <si>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</si>
  <si>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</si>
  <si>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</si>
  <si>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</si>
  <si>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</si>
  <si>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</si>
  <si>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</si>
  <si>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</si>
  <si>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</si>
  <si>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</si>
  <si>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</si>
  <si>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</si>
  <si>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</si>
  <si>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</si>
  <si>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</si>
  <si>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</si>
  <si>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</si>
  <si>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</si>
  <si>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</si>
  <si>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</si>
  <si>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</si>
  <si>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</si>
  <si>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</si>
  <si>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</si>
  <si>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</si>
  <si>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</si>
  <si>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</si>
  <si>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</si>
  <si>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</si>
  <si>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</si>
  <si>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</si>
  <si>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</si>
  <si>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</si>
  <si>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</si>
  <si>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</si>
  <si>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</si>
  <si>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</si>
  <si>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</si>
  <si>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</si>
  <si>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</si>
  <si>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</si>
  <si>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</si>
  <si>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</si>
  <si>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</si>
  <si>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</si>
  <si>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</si>
  <si>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</si>
  <si>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</si>
  <si>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</si>
  <si>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</si>
  <si>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</si>
  <si>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</si>
  <si>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</si>
  <si>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</si>
  <si>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</si>
  <si>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</si>
  <si>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</si>
  <si>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</si>
  <si>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</si>
  <si>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</si>
  <si>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</si>
  <si>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</si>
  <si>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</si>
  <si>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</si>
  <si>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</si>
  <si>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</si>
  <si>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</si>
  <si>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</si>
  <si>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</si>
  <si>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</si>
  <si>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</si>
  <si>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</si>
  <si>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</si>
  <si>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</si>
  <si>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</si>
  <si>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</si>
  <si>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</si>
  <si>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</si>
  <si>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</si>
  <si>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</si>
  <si>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</si>
  <si>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</si>
  <si>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</si>
  <si>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</si>
  <si>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</si>
  <si>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</si>
  <si>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</si>
  <si>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</si>
  <si>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</si>
  <si>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</si>
  <si>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</si>
  <si>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</si>
  <si>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</si>
  <si>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</si>
  <si>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</si>
  <si>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</si>
  <si>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</si>
  <si>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</si>
  <si>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</si>
  <si>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</si>
  <si>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</si>
  <si>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</si>
  <si>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</si>
  <si>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</si>
  <si>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</si>
  <si>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</si>
  <si>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</si>
  <si>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</si>
  <si>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</si>
  <si>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</si>
  <si>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</si>
  <si>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</si>
  <si>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</si>
  <si>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</si>
  <si>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</si>
  <si>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</si>
  <si>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</si>
  <si>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</si>
  <si>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</si>
  <si>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</si>
  <si>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</si>
  <si>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</si>
  <si>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</si>
  <si>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</si>
  <si>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</si>
  <si>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</si>
  <si>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</si>
  <si>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</si>
  <si>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</si>
  <si>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</si>
  <si>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</si>
  <si>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</si>
  <si>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</si>
  <si>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</si>
  <si>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</si>
  <si>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</si>
  <si>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</si>
  <si>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</si>
  <si>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</si>
  <si>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</si>
  <si>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</si>
  <si>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</si>
  <si>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</si>
  <si>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</si>
  <si>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</si>
  <si>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</si>
  <si>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</si>
  <si>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</si>
  <si>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</si>
  <si>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</si>
  <si>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</si>
  <si>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</si>
  <si>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</si>
  <si>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</si>
  <si>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</si>
  <si>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</si>
  <si>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</si>
  <si>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</si>
  <si>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</si>
  <si>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</si>
  <si>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</si>
  <si>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</si>
  <si>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</si>
  <si>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</si>
  <si>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</si>
  <si>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</si>
  <si>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</si>
  <si>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</si>
  <si>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</si>
  <si>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</si>
  <si>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</si>
  <si>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</si>
  <si>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</si>
  <si>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</si>
  <si>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</si>
  <si>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</si>
  <si>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</si>
  <si>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</si>
  <si>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</si>
  <si>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</si>
  <si>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</si>
  <si>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</si>
  <si>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</si>
  <si>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</si>
  <si>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</si>
  <si>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</si>
  <si>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</si>
  <si>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</si>
  <si>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</si>
  <si>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</si>
  <si>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</si>
  <si>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</si>
  <si>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</si>
  <si>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</si>
  <si>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</si>
  <si>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</si>
  <si>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</si>
  <si>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</si>
  <si>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</si>
  <si>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</si>
  <si>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</si>
  <si>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</si>
  <si>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</si>
  <si>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</si>
  <si>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</si>
  <si>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</si>
  <si>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</si>
  <si>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</si>
  <si>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</si>
  <si>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</si>
  <si>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</si>
  <si>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</si>
  <si>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</si>
  <si>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</si>
  <si>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</si>
  <si>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</si>
  <si>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</si>
  <si>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</si>
  <si>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</si>
  <si>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</si>
  <si>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</si>
  <si>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</si>
  <si>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</si>
  <si>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</si>
  <si>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</si>
  <si>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</si>
  <si>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</si>
  <si>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</si>
  <si>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</si>
  <si>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</si>
  <si>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</si>
  <si>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</si>
  <si>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</si>
  <si>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</si>
  <si>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</si>
  <si>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</si>
  <si>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</si>
  <si>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</si>
  <si>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</si>
  <si>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</si>
  <si>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</si>
  <si>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</si>
  <si>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</si>
  <si>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</si>
  <si>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</si>
  <si>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</si>
  <si>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</si>
  <si>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</si>
  <si>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</si>
  <si>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</si>
  <si>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</si>
  <si>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</si>
  <si>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</si>
  <si>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</si>
  <si>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</si>
  <si>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</si>
  <si>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</si>
  <si>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</si>
  <si>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</si>
  <si>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</si>
  <si>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</si>
  <si>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</si>
  <si>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</si>
  <si>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</si>
  <si>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</si>
  <si>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</si>
  <si>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</si>
  <si>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</si>
  <si>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</si>
  <si>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</si>
  <si>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</si>
  <si>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</si>
  <si>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</si>
  <si>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</si>
  <si>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</si>
  <si>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</si>
  <si>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</si>
  <si>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</si>
  <si>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</si>
  <si>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</si>
  <si>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</si>
  <si>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</si>
  <si>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</si>
  <si>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</si>
  <si>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</si>
  <si>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</si>
  <si>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</si>
  <si>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</si>
  <si>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</si>
  <si>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</si>
  <si>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</si>
  <si>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</si>
  <si>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</si>
  <si>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</si>
  <si>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</si>
  <si>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</si>
  <si>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</si>
  <si>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</si>
  <si>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</si>
  <si>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</si>
  <si>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</si>
  <si>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</si>
  <si>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</si>
  <si>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</si>
  <si>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</si>
  <si>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</si>
  <si>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</si>
  <si>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</si>
  <si>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</si>
  <si>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</si>
  <si>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</si>
  <si>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</si>
  <si>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</si>
  <si>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</si>
  <si>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</si>
  <si>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</si>
  <si>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</si>
  <si>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</si>
  <si>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</si>
  <si>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</si>
  <si>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</si>
  <si>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</si>
  <si>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</si>
  <si>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</si>
  <si>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</si>
  <si>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</si>
  <si>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</si>
  <si>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</si>
  <si>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</si>
  <si>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</si>
  <si>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</si>
  <si>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</si>
  <si>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</si>
  <si>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</si>
  <si>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</si>
  <si>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</si>
  <si>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</si>
  <si>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</si>
  <si>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</si>
  <si>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</si>
  <si>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</si>
  <si>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</si>
  <si>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</si>
  <si>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</si>
  <si>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</si>
  <si>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</si>
  <si>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</si>
  <si>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</si>
  <si>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</si>
  <si>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</si>
  <si>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</si>
  <si>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</si>
  <si>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</si>
  <si>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</si>
  <si>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</si>
  <si>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</si>
  <si>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</si>
  <si>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</si>
  <si>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</si>
  <si>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</si>
  <si>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</si>
  <si>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</si>
  <si>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</si>
  <si>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</si>
  <si>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</si>
  <si>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</si>
  <si>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</si>
  <si>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</si>
  <si>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</si>
  <si>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</si>
  <si>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</si>
  <si>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</si>
  <si>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</si>
  <si>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</si>
  <si>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</si>
  <si>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</si>
  <si>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</si>
  <si>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</si>
  <si>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</si>
  <si>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</si>
  <si>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</si>
  <si>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</si>
  <si>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</si>
  <si>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</si>
  <si>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</si>
  <si>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</si>
  <si>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</si>
  <si>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</si>
  <si>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</si>
  <si>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</si>
  <si>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</si>
  <si>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</si>
  <si>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</si>
  <si>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</si>
  <si>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</si>
  <si>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</si>
  <si>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</si>
  <si>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</si>
  <si>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</si>
  <si>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</si>
  <si>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</si>
  <si>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</si>
  <si>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</si>
  <si>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</si>
  <si>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</si>
  <si>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</si>
  <si>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</si>
  <si>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</si>
  <si>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</si>
  <si>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</si>
  <si>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</si>
  <si>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</si>
  <si>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</si>
  <si>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</si>
  <si>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</si>
  <si>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</si>
  <si>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</si>
  <si>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</si>
  <si>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</si>
  <si>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</si>
  <si>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</si>
  <si>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</si>
  <si>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</si>
  <si>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</si>
  <si>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</si>
  <si>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</si>
  <si>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</si>
  <si>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</si>
  <si>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</si>
  <si>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</si>
  <si>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</si>
  <si>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</si>
  <si>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</si>
  <si>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</si>
  <si>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</si>
  <si>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</si>
  <si>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</si>
  <si>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</si>
  <si>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</si>
  <si>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</si>
  <si>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</si>
  <si>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</si>
  <si>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</si>
  <si>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</si>
  <si>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</si>
  <si>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</si>
  <si>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</si>
  <si>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</si>
  <si>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</si>
  <si>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</si>
  <si>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</si>
  <si>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</si>
  <si>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</si>
  <si>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</si>
  <si>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</si>
  <si>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</si>
  <si>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</si>
  <si>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</si>
  <si>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</si>
  <si>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</si>
  <si>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</si>
  <si>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</si>
  <si>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</si>
  <si>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</si>
  <si>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</si>
  <si>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</si>
  <si>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</si>
  <si>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</si>
  <si>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</si>
  <si>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</si>
  <si>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</si>
  <si>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</si>
  <si>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</si>
  <si>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</si>
  <si>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</si>
  <si>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</si>
  <si>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</si>
  <si>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</si>
  <si>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</si>
  <si>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</si>
  <si>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</si>
  <si>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</si>
  <si>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</si>
  <si>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</si>
  <si>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</si>
  <si>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</si>
  <si>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</si>
  <si>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</si>
  <si>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</si>
  <si>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</si>
  <si>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</si>
  <si>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</si>
  <si>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</si>
  <si>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</si>
  <si>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</si>
  <si>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</si>
  <si>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</si>
  <si>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</si>
  <si>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</si>
  <si>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</si>
  <si>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</si>
  <si>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</si>
  <si>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</si>
  <si>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</si>
  <si>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</si>
  <si>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</si>
  <si>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</si>
  <si>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</si>
  <si>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</si>
  <si>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</si>
  <si>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</si>
  <si>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</si>
  <si>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</si>
  <si>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</si>
  <si>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</si>
  <si>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</si>
  <si>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</si>
  <si>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</si>
  <si>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</si>
  <si>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</si>
  <si>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</si>
  <si>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</si>
  <si>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</si>
  <si>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</si>
  <si>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</si>
  <si>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</si>
  <si>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</si>
  <si>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</si>
  <si>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</si>
  <si>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</si>
  <si>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</si>
  <si>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</si>
  <si>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</si>
  <si>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</si>
  <si>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</si>
  <si>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</si>
  <si>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</si>
  <si>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</si>
  <si>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</si>
  <si>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</si>
  <si>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</si>
  <si>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</si>
  <si>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</si>
  <si>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</si>
  <si>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</si>
  <si>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</si>
  <si>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</si>
  <si>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</si>
  <si>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</si>
  <si>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</si>
  <si>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</si>
  <si>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</si>
  <si>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</si>
  <si>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</si>
  <si>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</si>
  <si>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</si>
  <si>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</si>
  <si>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</si>
  <si>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</si>
  <si>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</si>
  <si>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</si>
  <si>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</si>
  <si>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</si>
  <si>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</si>
  <si>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</si>
  <si>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</si>
  <si>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</si>
  <si>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</si>
  <si>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</si>
  <si>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</si>
  <si>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</si>
  <si>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</si>
  <si>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</si>
  <si>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</si>
  <si>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</si>
  <si>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</si>
  <si>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</si>
  <si>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</si>
  <si>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</si>
  <si>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</si>
  <si>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</si>
  <si>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</si>
  <si>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</si>
  <si>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</si>
  <si>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</si>
  <si>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</si>
  <si>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</si>
  <si>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</si>
  <si>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</si>
  <si>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</si>
  <si>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</si>
  <si>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</si>
  <si>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</si>
  <si>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</si>
  <si>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</si>
  <si>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</si>
  <si>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</si>
  <si>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</si>
  <si>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</si>
  <si>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</si>
  <si>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</si>
  <si>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</si>
  <si>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</si>
  <si>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</si>
  <si>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</si>
  <si>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</si>
  <si>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</si>
  <si>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</si>
  <si>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</si>
  <si>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</si>
  <si>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</si>
  <si>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</si>
  <si>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</si>
  <si>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</si>
  <si>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</si>
  <si>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</si>
  <si>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</si>
  <si>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</si>
  <si>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</si>
  <si>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</si>
  <si>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</si>
  <si>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</si>
  <si>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</si>
  <si>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</si>
  <si>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</si>
  <si>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</si>
  <si>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</si>
  <si>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</si>
  <si>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</si>
  <si>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</si>
  <si>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</si>
  <si>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</si>
  <si>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</si>
  <si>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</si>
  <si>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</si>
  <si>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</si>
  <si>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</si>
  <si>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</si>
  <si>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</si>
  <si>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</si>
  <si>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</si>
  <si>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</si>
  <si>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</si>
  <si>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</si>
  <si>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</si>
  <si>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</si>
  <si>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</si>
  <si>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</si>
  <si>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</si>
  <si>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</si>
  <si>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</si>
  <si>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</si>
  <si>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</si>
  <si>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</si>
  <si>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</si>
  <si>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</si>
  <si>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</si>
  <si>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</si>
  <si>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</si>
  <si>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</si>
  <si>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</si>
  <si>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</si>
  <si>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</si>
  <si>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</si>
  <si>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</si>
  <si>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</si>
  <si>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</si>
  <si>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</si>
  <si>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</si>
  <si>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</si>
  <si>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</si>
  <si>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</si>
  <si>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</si>
  <si>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</si>
  <si>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</si>
  <si>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</si>
  <si>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</si>
  <si>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</si>
  <si>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</si>
  <si>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</si>
  <si>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</si>
  <si>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</si>
  <si>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</si>
  <si>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</si>
  <si>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</si>
  <si>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</si>
  <si>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</si>
  <si>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</si>
  <si>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</si>
  <si>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</si>
  <si>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</si>
  <si>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</si>
  <si>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</si>
  <si>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</si>
  <si>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</si>
  <si>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</si>
  <si>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</si>
  <si>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</si>
  <si>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</si>
  <si>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</si>
  <si>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</si>
  <si>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</si>
  <si>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</si>
  <si>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</si>
  <si>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</si>
  <si>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</si>
  <si>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</si>
  <si>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</si>
  <si>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</si>
  <si>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</si>
  <si>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</si>
  <si>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</si>
  <si>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</si>
  <si>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</si>
  <si>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</si>
  <si>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</si>
  <si>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</si>
  <si>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</si>
  <si>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</si>
  <si>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</si>
  <si>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</si>
  <si>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</si>
  <si>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</si>
  <si>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</si>
  <si>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</si>
  <si>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</si>
  <si>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</si>
  <si>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</si>
  <si>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</si>
  <si>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</si>
  <si>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</si>
  <si>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</si>
  <si>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</si>
  <si>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</si>
  <si>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</si>
  <si>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</si>
  <si>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</si>
  <si>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</si>
  <si>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</si>
  <si>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</si>
  <si>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</si>
  <si>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</si>
  <si>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</si>
  <si>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</si>
  <si>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</si>
  <si>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</si>
  <si>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</si>
  <si>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</si>
  <si>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</si>
  <si>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</si>
  <si>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</si>
  <si>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</si>
  <si>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</si>
  <si>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</si>
  <si>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</si>
  <si>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</si>
  <si>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</si>
  <si>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</si>
  <si>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</si>
  <si>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</si>
  <si>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</si>
  <si>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</si>
  <si>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</si>
  <si>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</si>
  <si>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</si>
  <si>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</si>
  <si>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</si>
  <si>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</si>
  <si>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</si>
  <si>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</si>
  <si>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</si>
  <si>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</si>
  <si>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</si>
  <si>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</si>
  <si>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</si>
  <si>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</si>
  <si>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</si>
  <si>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</si>
  <si>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</si>
  <si>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</si>
  <si>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</si>
  <si>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</si>
  <si>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</si>
  <si>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</si>
  <si>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</si>
  <si>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</si>
  <si>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</si>
  <si>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</si>
  <si>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</si>
  <si>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</si>
  <si>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</si>
  <si>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</si>
  <si>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</si>
  <si>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</si>
  <si>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</si>
  <si>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</si>
  <si>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</si>
  <si>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</si>
  <si>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</si>
  <si>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</si>
  <si>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</si>
  <si>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</si>
  <si>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</si>
  <si>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</si>
  <si>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</si>
  <si>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</si>
  <si>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</si>
  <si>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</si>
  <si>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</si>
  <si>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</si>
  <si>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</si>
  <si>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</si>
  <si>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</si>
  <si>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</si>
  <si>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</si>
  <si>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</si>
  <si>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</si>
  <si>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</si>
  <si>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</si>
  <si>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</si>
  <si>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</si>
  <si>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</si>
  <si>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</si>
  <si>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</si>
  <si>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</si>
  <si>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</si>
  <si>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</si>
  <si>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</si>
  <si>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</si>
  <si>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</si>
  <si>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</si>
  <si>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</si>
  <si>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</si>
  <si>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</si>
  <si>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</si>
  <si>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</si>
  <si>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</si>
  <si>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</si>
  <si>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</si>
  <si>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</si>
  <si>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</si>
  <si>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</si>
  <si>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</si>
  <si>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</si>
  <si>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</si>
  <si>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</si>
  <si>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</si>
  <si>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</si>
  <si>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</si>
  <si>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</si>
  <si>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</si>
  <si>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</si>
  <si>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</si>
  <si>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</si>
  <si>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</si>
  <si>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</si>
  <si>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</si>
  <si>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</si>
  <si>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</si>
  <si>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</si>
  <si>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</si>
  <si>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</si>
  <si>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</si>
  <si>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</si>
  <si>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</si>
  <si>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</si>
  <si>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</si>
  <si>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</si>
  <si>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</si>
  <si>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</si>
  <si>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</si>
  <si>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</si>
  <si>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</si>
  <si>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</si>
  <si>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</si>
  <si>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</si>
  <si>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</si>
  <si>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</si>
  <si>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</si>
  <si>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</si>
  <si>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</si>
  <si>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</si>
  <si>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</si>
  <si>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</si>
  <si>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</si>
  <si>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</si>
  <si>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</si>
  <si>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</si>
  <si>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</si>
  <si>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</si>
  <si>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</si>
  <si>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</si>
  <si>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</si>
  <si>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</si>
  <si>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</si>
  <si>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</si>
  <si>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</si>
  <si>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</si>
  <si>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</si>
  <si>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</si>
  <si>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</si>
  <si>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</si>
  <si>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</si>
  <si>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</si>
  <si>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</si>
  <si>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</si>
  <si>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</si>
  <si>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</si>
  <si>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</si>
  <si>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</si>
  <si>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</si>
  <si>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</si>
  <si>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</si>
  <si>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</si>
  <si>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</si>
  <si>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</si>
  <si>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</si>
  <si>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</si>
  <si>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</si>
  <si>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</si>
  <si>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</si>
  <si>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</si>
  <si>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</si>
  <si>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</si>
  <si>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</si>
  <si>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</si>
  <si>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</si>
  <si>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</si>
  <si>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</si>
  <si>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</si>
  <si>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</si>
  <si>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</si>
  <si>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</si>
  <si>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</si>
  <si>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</si>
  <si>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</si>
  <si>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</si>
  <si>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</si>
  <si>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</si>
  <si>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</si>
  <si>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</si>
  <si>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</si>
  <si>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</si>
  <si>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</si>
  <si>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</si>
  <si>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</si>
  <si>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</si>
  <si>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</si>
  <si>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</si>
  <si>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</si>
  <si>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</si>
  <si>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</si>
  <si>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</si>
  <si>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</si>
  <si>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</si>
  <si>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</si>
  <si>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</si>
  <si>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</si>
  <si>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</si>
  <si>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</si>
  <si>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</si>
  <si>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</si>
  <si>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</si>
  <si>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</si>
  <si>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</si>
  <si>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</si>
  <si>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</si>
  <si>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</si>
  <si>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</si>
  <si>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</si>
  <si>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</si>
  <si>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</si>
  <si>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</si>
  <si>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</si>
  <si>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</si>
  <si>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</si>
  <si>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</si>
  <si>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</si>
  <si>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</si>
  <si>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</si>
  <si>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</si>
  <si>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</si>
  <si>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</si>
  <si>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</si>
  <si>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</si>
  <si>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</si>
  <si>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</si>
  <si>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</si>
  <si>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</si>
  <si>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</si>
  <si>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</si>
  <si>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</si>
  <si>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</si>
  <si>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</si>
  <si>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</si>
  <si>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</si>
  <si>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</si>
  <si>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</si>
  <si>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</si>
  <si>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</si>
  <si>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</si>
  <si>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</si>
  <si>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</si>
  <si>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</si>
  <si>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</si>
  <si>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</si>
  <si>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</si>
  <si>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</si>
  <si>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</si>
  <si>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</si>
  <si>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</si>
  <si>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</si>
  <si>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</si>
  <si>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</si>
  <si>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</si>
  <si>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</si>
  <si>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</si>
  <si>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</si>
  <si>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</si>
  <si>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</si>
  <si>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</si>
  <si>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</si>
  <si>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</si>
  <si>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</si>
  <si>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</si>
  <si>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</si>
  <si>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</si>
  <si>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</si>
  <si>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</si>
  <si>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</si>
  <si>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</si>
  <si>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</si>
  <si>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</si>
  <si>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</si>
  <si>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</si>
  <si>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</si>
  <si>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</si>
  <si>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</si>
  <si>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</si>
  <si>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</si>
  <si>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</si>
  <si>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</si>
  <si>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</si>
  <si>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</si>
  <si>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</si>
  <si>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</si>
  <si>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</si>
  <si>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</si>
  <si>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</si>
  <si>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</si>
  <si>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</si>
  <si>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</si>
  <si>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</si>
  <si>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</si>
  <si>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</si>
  <si>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</si>
  <si>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</si>
  <si>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</si>
  <si>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</si>
  <si>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</si>
  <si>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</si>
  <si>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</si>
  <si>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</si>
  <si>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</si>
  <si>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</si>
  <si>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</si>
  <si>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</si>
  <si>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</si>
  <si>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</si>
  <si>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</si>
  <si>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</si>
  <si>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</si>
  <si>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</si>
  <si>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</si>
  <si>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</si>
  <si>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</si>
  <si>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</si>
  <si>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</si>
  <si>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</si>
  <si>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</si>
  <si>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</si>
  <si>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</si>
  <si>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</si>
  <si>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</si>
  <si>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</si>
  <si>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</si>
  <si>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</si>
  <si>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</si>
  <si>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</si>
  <si>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</si>
  <si>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</si>
  <si>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</si>
  <si>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</si>
  <si>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</si>
  <si>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</si>
  <si>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</si>
  <si>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</si>
  <si>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</si>
  <si>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</si>
  <si>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</si>
  <si>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</si>
  <si>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</si>
  <si>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</si>
  <si>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</si>
  <si>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</si>
  <si>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</si>
  <si>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</si>
  <si>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</si>
  <si>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</si>
  <si>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</si>
  <si>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</si>
  <si>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</si>
  <si>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</si>
  <si>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</si>
  <si>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</si>
  <si>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</si>
  <si>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</si>
  <si>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</si>
  <si>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</si>
  <si>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</si>
  <si>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</si>
  <si>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</si>
  <si>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</si>
  <si>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</si>
  <si>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</si>
  <si>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</si>
  <si>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</si>
  <si>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</si>
  <si>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</si>
  <si>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</si>
  <si>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</si>
  <si>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</si>
  <si>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</si>
  <si>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</si>
  <si>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</si>
  <si>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</si>
  <si>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</si>
  <si>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</si>
  <si>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</si>
  <si>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</si>
  <si>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</si>
  <si>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</si>
  <si>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</si>
  <si>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</si>
  <si>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</si>
  <si>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</si>
  <si>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</si>
  <si>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</si>
  <si>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</si>
  <si>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</si>
  <si>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</si>
  <si>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</si>
  <si>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</si>
  <si>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</si>
  <si>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</si>
  <si>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</si>
  <si>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</si>
  <si>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</si>
  <si>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</si>
  <si>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</si>
  <si>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</si>
  <si>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</si>
  <si>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</si>
  <si>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</si>
  <si>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</si>
  <si>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</si>
  <si>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</si>
  <si>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</si>
  <si>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</si>
  <si>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</si>
  <si>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</si>
  <si>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</si>
  <si>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</si>
  <si>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</si>
  <si>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</si>
  <si>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</si>
  <si>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</si>
  <si>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</si>
  <si>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</si>
  <si>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</si>
  <si>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</si>
  <si>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</si>
  <si>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</si>
  <si>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</si>
  <si>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</si>
  <si>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</si>
  <si>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</si>
  <si>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</si>
  <si>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</si>
  <si>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</si>
  <si>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</si>
  <si>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</si>
  <si>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</si>
  <si>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</si>
  <si>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</si>
  <si>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</si>
  <si>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</si>
  <si>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</si>
  <si>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</si>
  <si>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</si>
  <si>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</si>
  <si>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</si>
  <si>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</si>
  <si>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</si>
  <si>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</si>
  <si>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</si>
  <si>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</si>
  <si>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</si>
  <si>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</si>
  <si>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</si>
  <si>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</si>
  <si>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</si>
  <si>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</si>
  <si>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</si>
  <si>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</si>
  <si>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</si>
  <si>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</si>
  <si>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</si>
  <si>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</si>
  <si>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</si>
  <si>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</si>
  <si>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</si>
  <si>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</si>
  <si>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</si>
  <si>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</si>
  <si>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</si>
  <si>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</si>
  <si>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</si>
  <si>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</si>
  <si>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</si>
  <si>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</si>
  <si>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</si>
  <si>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</si>
  <si>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</si>
  <si>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</si>
  <si>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</si>
  <si>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</si>
  <si>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</si>
  <si>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</si>
  <si>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</si>
  <si>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</si>
  <si>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</si>
  <si>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</si>
  <si>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</si>
  <si>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</si>
  <si>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</si>
  <si>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</si>
  <si>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</si>
  <si>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</si>
  <si>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</si>
  <si>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</si>
  <si>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</si>
  <si>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</si>
  <si>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</si>
  <si>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</si>
  <si>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</si>
  <si>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</si>
  <si>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</si>
  <si>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</si>
  <si>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</si>
  <si>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</si>
  <si>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</si>
  <si>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</si>
  <si>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</si>
  <si>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</si>
  <si>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</si>
  <si>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</si>
  <si>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</si>
  <si>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</si>
  <si>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</si>
  <si>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</si>
  <si>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</si>
  <si>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</si>
  <si>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</si>
  <si>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</si>
  <si>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</si>
  <si>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</si>
  <si>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</si>
  <si>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</si>
  <si>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</si>
  <si>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</si>
  <si>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</si>
  <si>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</si>
  <si>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</si>
  <si>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</si>
  <si>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</si>
  <si>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</si>
  <si>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</si>
  <si>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</si>
  <si>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</si>
  <si>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</si>
  <si>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</si>
  <si>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</si>
  <si>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</si>
  <si>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</si>
  <si>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</si>
  <si>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</si>
  <si>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</si>
  <si>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</si>
  <si>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</si>
  <si>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</si>
  <si>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</si>
  <si>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</si>
  <si>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</si>
  <si>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</si>
  <si>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</si>
  <si>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</si>
  <si>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</si>
  <si>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</si>
  <si>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</si>
  <si>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</si>
  <si>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</si>
  <si>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</si>
  <si>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</si>
  <si>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</si>
  <si>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</si>
  <si>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</si>
  <si>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</si>
  <si>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</si>
  <si>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</si>
  <si>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</si>
  <si>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</si>
  <si>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</si>
  <si>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</si>
  <si>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</si>
  <si>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</si>
  <si>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</si>
  <si>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</si>
  <si>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</si>
  <si>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</si>
  <si>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</si>
  <si>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</si>
  <si>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</si>
  <si>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</si>
  <si>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</si>
  <si>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</si>
  <si>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</si>
  <si>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</si>
  <si>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</si>
  <si>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</si>
  <si>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</si>
  <si>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</si>
  <si>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</si>
  <si>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</si>
  <si>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</si>
  <si>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</si>
  <si>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</si>
  <si>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</si>
  <si>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</si>
  <si>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</si>
  <si>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</si>
  <si>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</si>
  <si>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</si>
  <si>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</si>
  <si>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</si>
  <si>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</si>
  <si>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</si>
  <si>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</si>
  <si>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</si>
  <si>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</si>
  <si>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</si>
  <si>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</si>
  <si>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</si>
  <si>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</si>
  <si>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</si>
  <si>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</si>
  <si>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</si>
  <si>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</si>
  <si>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</si>
  <si>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</si>
  <si>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</si>
  <si>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</si>
  <si>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</si>
  <si>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</si>
  <si>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</si>
  <si>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</si>
  <si>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</si>
  <si>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</si>
  <si>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</si>
  <si>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</si>
  <si>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</si>
  <si>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</si>
  <si>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</si>
  <si>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</si>
  <si>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</si>
  <si>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</si>
  <si>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</si>
  <si>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</si>
  <si>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</si>
  <si>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</si>
  <si>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</si>
  <si>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</si>
  <si>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</si>
  <si>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</si>
  <si>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</si>
  <si>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</si>
  <si>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</si>
  <si>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</si>
  <si>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</si>
  <si>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</si>
  <si>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</si>
  <si>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</si>
  <si>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</si>
  <si>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</si>
  <si>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</si>
  <si>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</si>
  <si>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</si>
  <si>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</si>
  <si>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</si>
  <si>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</si>
  <si>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</si>
  <si>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</si>
  <si>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</si>
  <si>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</si>
  <si>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</si>
  <si>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</si>
  <si>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</si>
  <si>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</si>
  <si>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</si>
  <si>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</si>
  <si>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</si>
  <si>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</si>
  <si>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</si>
  <si>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</si>
  <si>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</si>
  <si>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</si>
  <si>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</si>
  <si>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</si>
  <si>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</si>
  <si>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</si>
  <si>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</si>
  <si>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</si>
  <si>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</si>
  <si>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</si>
  <si>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</si>
  <si>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</si>
  <si>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</si>
  <si>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</si>
  <si>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</si>
  <si>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</si>
  <si>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</si>
  <si>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</si>
  <si>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</si>
  <si>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</si>
  <si>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</si>
  <si>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</si>
  <si>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</si>
  <si>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</si>
  <si>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</si>
  <si>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</si>
  <si>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</si>
  <si>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</si>
  <si>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</si>
  <si>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</si>
  <si>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</si>
  <si>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</si>
  <si>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</si>
  <si>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</si>
  <si>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</si>
  <si>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</si>
  <si>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</si>
  <si>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</si>
  <si>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</si>
  <si>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</si>
  <si>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</si>
  <si>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</si>
  <si>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</si>
  <si>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</si>
  <si>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</si>
  <si>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</si>
  <si>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</si>
  <si>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</si>
  <si>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</si>
  <si>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</si>
  <si>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</si>
  <si>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</si>
  <si>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</si>
  <si>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</si>
  <si>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</si>
  <si>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</si>
  <si>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</si>
  <si>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</si>
  <si>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</si>
  <si>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</si>
  <si>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</si>
  <si>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</si>
  <si>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</si>
  <si>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</si>
  <si>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</si>
  <si>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</si>
  <si>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</si>
  <si>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</si>
  <si>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</si>
  <si>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</si>
  <si>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</si>
  <si>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</si>
  <si>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</si>
  <si>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</si>
  <si>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</si>
  <si>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</si>
  <si>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</si>
  <si>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</si>
  <si>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</si>
  <si>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</si>
  <si>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</si>
  <si>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</si>
  <si>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</si>
  <si>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</si>
  <si>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</si>
  <si>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</si>
  <si>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</si>
  <si>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</si>
  <si>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</si>
  <si>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</si>
  <si>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</si>
  <si>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</si>
  <si>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</si>
  <si>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</si>
  <si>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</si>
  <si>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</si>
  <si>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</si>
  <si>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</si>
  <si>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</si>
  <si>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</si>
  <si>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</si>
  <si>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</si>
  <si>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</si>
  <si>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</si>
  <si>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</si>
  <si>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</si>
  <si>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</si>
  <si>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</si>
  <si>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</si>
  <si>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</si>
  <si>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</si>
  <si>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</si>
  <si>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</si>
  <si>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</si>
  <si>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</si>
  <si>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</si>
  <si>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</si>
  <si>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</si>
  <si>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</si>
  <si>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</si>
  <si>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</si>
  <si>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</si>
  <si>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</si>
  <si>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</si>
  <si>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</si>
  <si>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</si>
  <si>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</si>
  <si>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</si>
  <si>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</si>
  <si>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</si>
  <si>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</si>
  <si>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</si>
  <si>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</si>
  <si>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</si>
  <si>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</si>
  <si>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</si>
  <si>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</si>
  <si>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</si>
  <si>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</si>
  <si>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</si>
  <si>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</si>
  <si>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</si>
  <si>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</si>
  <si>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</si>
  <si>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</si>
  <si>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</si>
  <si>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</si>
  <si>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</si>
  <si>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</si>
  <si>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</si>
  <si>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</si>
  <si>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</si>
  <si>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</si>
  <si>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</si>
  <si>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</si>
  <si>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</si>
  <si>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</si>
  <si>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</si>
  <si>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</si>
  <si>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</si>
  <si>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</si>
  <si>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</si>
  <si>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</si>
  <si>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</si>
  <si>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</si>
  <si>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</si>
  <si>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</si>
  <si>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</si>
  <si>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</si>
  <si>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</si>
  <si>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</si>
  <si>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</si>
  <si>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</si>
  <si>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</si>
  <si>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</si>
  <si>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</si>
  <si>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</si>
  <si>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</si>
  <si>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</si>
  <si>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</si>
  <si>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</si>
  <si>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</si>
  <si>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</si>
  <si>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</si>
  <si>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</si>
  <si>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</si>
  <si>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</si>
  <si>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</si>
  <si>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</si>
  <si>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</si>
  <si>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</si>
  <si>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</si>
  <si>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</si>
  <si>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</si>
  <si>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</si>
  <si>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</si>
  <si>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</si>
  <si>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</si>
  <si>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</si>
  <si>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</si>
  <si>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</si>
  <si>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</si>
  <si>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</si>
  <si>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</si>
  <si>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</si>
  <si>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</si>
  <si>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</si>
  <si>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</si>
  <si>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</si>
  <si>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</si>
  <si>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</si>
  <si>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</si>
  <si>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</si>
  <si>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</si>
  <si>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</si>
  <si>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</si>
  <si>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</si>
  <si>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</si>
  <si>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</si>
  <si>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</si>
  <si>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</si>
  <si>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</si>
  <si>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</si>
  <si>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</si>
  <si>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</si>
  <si>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</si>
  <si>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</si>
  <si>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</si>
  <si>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</si>
  <si>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</si>
  <si>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</si>
  <si>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</si>
  <si>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</si>
  <si>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</si>
  <si>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</si>
  <si>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</si>
  <si>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</si>
  <si>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</si>
  <si>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</si>
  <si>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</si>
  <si>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</si>
  <si>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</si>
  <si>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</si>
  <si>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</si>
  <si>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</si>
  <si>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</si>
  <si>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</si>
  <si>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</si>
  <si>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</si>
  <si>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</si>
  <si>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</si>
  <si>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</si>
  <si>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</si>
  <si>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</si>
  <si>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</si>
  <si>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</si>
  <si>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</si>
  <si>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</si>
  <si>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</si>
  <si>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</si>
  <si>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</si>
  <si>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</si>
  <si>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</si>
  <si>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</si>
  <si>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</si>
  <si>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</si>
  <si>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</si>
  <si>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</si>
  <si>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</si>
  <si>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</si>
  <si>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</si>
  <si>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</si>
  <si>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</si>
  <si>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</si>
  <si>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</si>
  <si>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</si>
  <si>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</si>
  <si>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</si>
  <si>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</si>
  <si>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</si>
  <si>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</si>
  <si>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</si>
  <si>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</si>
  <si>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</si>
  <si>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</si>
  <si>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</si>
  <si>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</si>
  <si>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</si>
  <si>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</si>
  <si>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</si>
  <si>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</si>
  <si>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</si>
  <si>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</si>
  <si>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</si>
  <si>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</si>
  <si>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</si>
  <si>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</si>
  <si>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</si>
  <si>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</si>
  <si>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</si>
  <si>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</si>
  <si>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</si>
  <si>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</si>
  <si>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</si>
  <si>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</si>
  <si>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</si>
  <si>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</si>
  <si>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</si>
  <si>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</si>
  <si>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</si>
  <si>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</si>
  <si>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</si>
  <si>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</si>
  <si>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</si>
  <si>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</si>
  <si>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</si>
  <si>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</si>
  <si>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</si>
  <si>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</si>
  <si>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</si>
  <si>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</si>
  <si>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</si>
  <si>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</si>
  <si>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</si>
  <si>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</si>
  <si>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</si>
  <si>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</si>
  <si>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</si>
  <si>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</si>
  <si>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</si>
  <si>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</si>
  <si>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</si>
  <si>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</si>
  <si>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</si>
  <si>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</si>
  <si>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</si>
  <si>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</si>
  <si>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</si>
  <si>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</si>
  <si>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</si>
  <si>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</si>
  <si>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</si>
  <si>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</si>
  <si>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</si>
  <si>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</si>
  <si>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</si>
  <si>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</si>
  <si>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</si>
  <si>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</si>
  <si>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</si>
  <si>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</si>
  <si>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</si>
  <si>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</si>
  <si>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</si>
  <si>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</si>
  <si>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</si>
  <si>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</si>
  <si>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</si>
  <si>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</si>
  <si>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</si>
  <si>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</si>
  <si>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</si>
  <si>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</si>
  <si>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</si>
  <si>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</si>
  <si>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</si>
  <si>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</si>
  <si>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</si>
  <si>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</si>
  <si>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</si>
  <si>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</si>
  <si>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</si>
  <si>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</si>
  <si>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</si>
  <si>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</si>
  <si>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</si>
  <si>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</si>
  <si>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</si>
  <si>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</si>
  <si>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</si>
  <si>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</si>
  <si>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</si>
  <si>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</si>
  <si>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</si>
  <si>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</si>
  <si>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</si>
  <si>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</si>
  <si>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</si>
  <si>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</si>
  <si>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</si>
  <si>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</si>
  <si>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</si>
  <si>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</si>
  <si>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</si>
  <si>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</si>
  <si>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</si>
  <si>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</si>
  <si>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</si>
  <si>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</si>
  <si>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</si>
  <si>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</si>
  <si>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</si>
  <si>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</si>
  <si>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</si>
  <si>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</si>
  <si>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</si>
  <si>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</si>
  <si>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</si>
  <si>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</si>
  <si>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</si>
  <si>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</si>
  <si>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</si>
  <si>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</si>
  <si>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</si>
  <si>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</si>
  <si>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</si>
  <si>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</si>
  <si>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</si>
  <si>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</si>
  <si>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</si>
  <si>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</si>
  <si>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</si>
  <si>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</si>
  <si>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</si>
  <si>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</si>
  <si>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</si>
  <si>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</si>
  <si>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</si>
  <si>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</si>
  <si>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</si>
  <si>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</si>
  <si>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</si>
  <si>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</si>
  <si>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</si>
  <si>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</si>
  <si>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</si>
  <si>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</si>
  <si>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</si>
  <si>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</si>
  <si>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</si>
  <si>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</si>
  <si>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</si>
  <si>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</si>
  <si>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</si>
  <si>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</si>
  <si>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</si>
  <si>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</si>
  <si>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</si>
  <si>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</si>
  <si>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</si>
  <si>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</si>
  <si>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</si>
  <si>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</si>
  <si>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</si>
  <si>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</si>
  <si>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</si>
  <si>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</si>
  <si>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</si>
  <si>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</si>
  <si>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</si>
  <si>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</si>
  <si>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</si>
  <si>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</si>
  <si>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</si>
  <si>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</si>
  <si>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</si>
  <si>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</si>
  <si>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</si>
  <si>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</si>
  <si>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</si>
  <si>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</si>
  <si>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</si>
  <si>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</si>
  <si>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</si>
  <si>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</si>
  <si>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</si>
  <si>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</si>
  <si>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</si>
  <si>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</si>
  <si>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</si>
  <si>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</si>
  <si>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</si>
  <si>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</si>
  <si>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</si>
  <si>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</si>
  <si>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</si>
  <si>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</si>
  <si>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</si>
  <si>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</si>
  <si>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</si>
  <si>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</si>
  <si>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</si>
  <si>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</si>
  <si>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</si>
  <si>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</si>
  <si>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</si>
  <si>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</si>
  <si>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</si>
  <si>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</si>
  <si>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</si>
  <si>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</si>
  <si>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</si>
  <si>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</si>
  <si>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</si>
  <si>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</si>
  <si>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</si>
  <si>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</si>
  <si>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</si>
  <si>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</si>
  <si>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</si>
  <si>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</si>
  <si>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</si>
  <si>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</si>
  <si>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</si>
  <si>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</si>
  <si>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</si>
  <si>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2186SVEUČILIŠTE U RIJECI - EKONOMSKI FAKULTET</t>
  </si>
  <si>
    <t>Koraljka Miočić</t>
  </si>
  <si>
    <t>051/355-109</t>
  </si>
  <si>
    <t>koraljka.miocic@efri.hr</t>
  </si>
  <si>
    <t>21.3.2022.</t>
  </si>
  <si>
    <t>EFST</t>
  </si>
  <si>
    <t>01.03.2021.</t>
  </si>
  <si>
    <t>28.02.2023.</t>
  </si>
  <si>
    <t>UNIRI</t>
  </si>
  <si>
    <t>01.01.2021.</t>
  </si>
  <si>
    <t>31.12.2023.</t>
  </si>
  <si>
    <t>01.01.2020.</t>
  </si>
  <si>
    <t>30.06.2022.</t>
  </si>
  <si>
    <t>Regione di Puglia</t>
  </si>
  <si>
    <t>01.11.2019.</t>
  </si>
  <si>
    <t>DIRECCION GRAL.FONDOS COMUNITARIOS.M.E.H</t>
  </si>
  <si>
    <t>30.10.2020.</t>
  </si>
  <si>
    <t>30.10.2023.</t>
  </si>
  <si>
    <t>Udruga mladih i Alumni FET Pula</t>
  </si>
  <si>
    <t>Zdravstveni opservatorij</t>
  </si>
  <si>
    <t>Udruga Krijesnica</t>
  </si>
  <si>
    <t>09.03.2020.</t>
  </si>
  <si>
    <t>DRŽAVNI PRORAČUN REPUBLIKE HRVATSKE</t>
  </si>
  <si>
    <t>Povećanje zapošljivosti studenata kroz unapređenje Centra za karijere i razvoj stručne prakse – CEZAR.</t>
  </si>
  <si>
    <r>
      <t>Svrha projekta</t>
    </r>
    <r>
      <rPr>
        <sz val="10"/>
        <color rgb="FF333333"/>
        <rFont val="Arial"/>
        <family val="2"/>
        <charset val="238"/>
      </rPr>
      <t> je kroz suradnju Ekonomskog fakulteta Sveučilišta u Rijeci i poslovne zajednice unaprijediti izvođenje stručne prakse razvojem ishoda učenja iz kolegija Stručna praksa. Također, unapređenjem Centra za karijere te jačanjem kompetencija nastavnog i nenastavnog osoblja, dugoročno će se osigurati provođenje aktivnosti usmjerenih na povećanje zapošljivosti i rani razvoj karijere studenata</t>
    </r>
  </si>
  <si>
    <t>Uredski materijal</t>
  </si>
  <si>
    <t>Europski socijalni fond</t>
  </si>
  <si>
    <t>Rijeka, 10.12.2021.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</si>
</sst>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3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0"/>
      <color rgb="FF333333"/>
      <name val="Arial"/>
      <family val="2"/>
      <charset val="238"/>
    </font>
    <font>
      <b/>
      <sz val="10"/>
      <color rgb="FF333333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9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81" fillId="0" borderId="0" xfId="0" applyFont="1"/>
    <xf numFmtId="0" fontId="82" fillId="0" borderId="0" xfId="0" applyFo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4" xfId="77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5" t="s">
        <v>3498</v>
      </c>
      <c r="D3" s="266"/>
      <c r="E3" s="267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8" t="s">
        <v>3525</v>
      </c>
      <c r="D4" s="269"/>
      <c r="E4" s="270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8" t="s">
        <v>3499</v>
      </c>
      <c r="D5" s="269"/>
      <c r="E5" s="270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8" t="s">
        <v>3500</v>
      </c>
      <c r="D6" s="269"/>
      <c r="E6" s="270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8" t="s">
        <v>3501</v>
      </c>
      <c r="D7" s="269"/>
      <c r="E7" s="270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4" t="s">
        <v>1983</v>
      </c>
      <c r="C9" s="263"/>
      <c r="D9" s="263"/>
      <c r="E9" s="263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4" t="s">
        <v>3</v>
      </c>
      <c r="C10" s="263"/>
      <c r="D10" s="263"/>
      <c r="E10" s="263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2"/>
      <c r="C11" s="263"/>
      <c r="D11" s="263"/>
      <c r="E11" s="263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39110513</v>
      </c>
      <c r="D14" s="161">
        <f>+D15+D16</f>
        <v>38156202</v>
      </c>
      <c r="E14" s="161">
        <f>+E15+E16</f>
        <v>37833292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39110513</v>
      </c>
      <c r="D15" s="164">
        <f>'PLAN PRIHODA I PRIMITAKA '!D67</f>
        <v>38156202</v>
      </c>
      <c r="E15" s="164">
        <f>'PLAN PRIHODA I PRIMITAKA '!D107</f>
        <v>37833292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37847421</v>
      </c>
      <c r="D17" s="168">
        <f>+D18+D19</f>
        <v>36616266</v>
      </c>
      <c r="E17" s="168">
        <f>+E18+E19</f>
        <v>35736692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37546847</v>
      </c>
      <c r="D18" s="170">
        <f>'PLAN RASHODA I IZDATAKA'!D72</f>
        <v>36354466</v>
      </c>
      <c r="E18" s="170">
        <f>'PLAN RASHODA I IZDATAKA'!D92</f>
        <v>35471392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300574</v>
      </c>
      <c r="D19" s="170">
        <f>'PLAN RASHODA I IZDATAKA'!D80</f>
        <v>261800</v>
      </c>
      <c r="E19" s="170">
        <f>'PLAN RASHODA I IZDATAKA'!D100</f>
        <v>265300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1263092</v>
      </c>
      <c r="D20" s="161">
        <f>+D14-D17</f>
        <v>1539936</v>
      </c>
      <c r="E20" s="161">
        <f>+E14-E17</f>
        <v>2096600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2"/>
      <c r="C21" s="263"/>
      <c r="D21" s="263"/>
      <c r="E21" s="263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5655855</v>
      </c>
      <c r="D23" s="169">
        <f>'PLAN PRIHODA I PRIMITAKA '!D45</f>
        <v>6918947</v>
      </c>
      <c r="E23" s="169">
        <f>'PLAN PRIHODA I PRIMITAKA '!D85</f>
        <v>8458883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-6918947</v>
      </c>
      <c r="D24" s="173">
        <f>'PLAN PRIHODA I PRIMITAKA '!D47</f>
        <v>-8458883</v>
      </c>
      <c r="E24" s="174">
        <f>'PLAN PRIHODA I PRIMITAKA '!D87</f>
        <v>-10555483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2"/>
      <c r="C25" s="263"/>
      <c r="D25" s="263"/>
      <c r="E25" s="263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2"/>
      <c r="C30" s="263"/>
      <c r="D30" s="263"/>
      <c r="E30" s="263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E9" sqref="E9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23" sqref="G2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71" t="s">
        <v>732</v>
      </c>
      <c r="B1" s="271"/>
      <c r="C1" s="271"/>
      <c r="D1" s="271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21651373</v>
      </c>
      <c r="H3" s="182">
        <v>21716290</v>
      </c>
      <c r="I3" s="182">
        <v>21816170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11</v>
      </c>
      <c r="D4" s="136" t="str">
        <f t="shared" ref="D4:D67" si="1">IFERROR(VLOOKUP(E4,$Q$6:$T$105,4,FALSE),"")</f>
        <v>Opći prihodi i primici</v>
      </c>
      <c r="E4" s="148" t="s">
        <v>750</v>
      </c>
      <c r="F4" s="188" t="str">
        <f t="shared" ref="F4:F67" si="2">IFERROR(VLOOKUP(E4,$Q$6:$T$105,2,FALSE),"")</f>
        <v>Prihodi iz nadležnog proračuna za financiranje redovne djelatnosti proračunskih korisnika</v>
      </c>
      <c r="G4" s="182">
        <v>3267847</v>
      </c>
      <c r="H4" s="182">
        <v>3267847</v>
      </c>
      <c r="I4" s="182">
        <v>3267847</v>
      </c>
      <c r="K4" s="139" t="str">
        <f t="shared" ref="K4:K67" si="3">LEFT(E4,3)</f>
        <v>671</v>
      </c>
      <c r="L4" s="139" t="str">
        <f t="shared" ref="L4:L67" si="4">LEFT(E4,2)</f>
        <v>67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641310031</v>
      </c>
      <c r="F5" s="188" t="str">
        <f t="shared" si="2"/>
        <v>Kamate na oročena sredstva izvor 31</v>
      </c>
      <c r="G5" s="182">
        <v>85000</v>
      </c>
      <c r="H5" s="182">
        <v>88000</v>
      </c>
      <c r="I5" s="182">
        <v>90000</v>
      </c>
      <c r="K5" s="139" t="str">
        <f t="shared" si="3"/>
        <v>641</v>
      </c>
      <c r="L5" s="139" t="str">
        <f t="shared" si="4"/>
        <v>64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31</v>
      </c>
      <c r="D6" s="136" t="str">
        <f t="shared" si="1"/>
        <v>Vlastiti prihodi</v>
      </c>
      <c r="E6" s="148">
        <v>641320031</v>
      </c>
      <c r="F6" s="188" t="str">
        <f t="shared" si="2"/>
        <v>Kamate na depozite po viđenju izvor 31</v>
      </c>
      <c r="G6" s="182">
        <v>500</v>
      </c>
      <c r="H6" s="182">
        <v>800</v>
      </c>
      <c r="I6" s="182">
        <v>10000</v>
      </c>
      <c r="K6" s="139" t="str">
        <f t="shared" si="3"/>
        <v>641</v>
      </c>
      <c r="L6" s="139" t="str">
        <f t="shared" si="4"/>
        <v>64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31</v>
      </c>
      <c r="D7" s="136" t="str">
        <f t="shared" si="1"/>
        <v>Vlastiti prihodi</v>
      </c>
      <c r="E7" s="148">
        <v>6615</v>
      </c>
      <c r="F7" s="188" t="str">
        <f t="shared" si="2"/>
        <v>Prihodi od pruženih usluga</v>
      </c>
      <c r="G7" s="182">
        <v>3000000</v>
      </c>
      <c r="H7" s="182">
        <v>3100000</v>
      </c>
      <c r="I7" s="182">
        <v>3150000</v>
      </c>
      <c r="K7" s="139" t="str">
        <f t="shared" si="3"/>
        <v>661</v>
      </c>
      <c r="L7" s="139" t="str">
        <f t="shared" si="4"/>
        <v>66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43</v>
      </c>
      <c r="D8" s="136" t="str">
        <f t="shared" si="1"/>
        <v>Ostali prihodi za posebne namjene</v>
      </c>
      <c r="E8" s="148">
        <v>65264</v>
      </c>
      <c r="F8" s="188" t="str">
        <f t="shared" si="2"/>
        <v>Sufinanciranje cijene usluge, participacije i slično</v>
      </c>
      <c r="G8" s="182">
        <v>6200000</v>
      </c>
      <c r="H8" s="182">
        <v>6250000</v>
      </c>
      <c r="I8" s="182">
        <v>6300000</v>
      </c>
      <c r="K8" s="139" t="str">
        <f t="shared" si="3"/>
        <v>652</v>
      </c>
      <c r="L8" s="139" t="str">
        <f t="shared" si="4"/>
        <v>65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6391</v>
      </c>
      <c r="F9" s="188" t="str">
        <f t="shared" si="2"/>
        <v>Tekući prijenosi između proračunskih korisnika istog proračuna</v>
      </c>
      <c r="G9" s="182">
        <v>480040</v>
      </c>
      <c r="H9" s="182">
        <v>460680</v>
      </c>
      <c r="I9" s="182">
        <v>576275</v>
      </c>
      <c r="K9" s="139" t="str">
        <f t="shared" si="3"/>
        <v>639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43</v>
      </c>
      <c r="D10" s="136" t="str">
        <f t="shared" si="1"/>
        <v>Ostali prihodi za posebne namjene</v>
      </c>
      <c r="E10" s="148">
        <v>683110043</v>
      </c>
      <c r="F10" s="188" t="str">
        <f t="shared" si="2"/>
        <v>Ostali prihodi izvor 43</v>
      </c>
      <c r="G10" s="182">
        <v>243000</v>
      </c>
      <c r="H10" s="182">
        <v>245000</v>
      </c>
      <c r="I10" s="182">
        <v>250000</v>
      </c>
      <c r="K10" s="139" t="str">
        <f t="shared" si="3"/>
        <v>683</v>
      </c>
      <c r="L10" s="139" t="str">
        <f t="shared" si="4"/>
        <v>68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>08006</v>
      </c>
      <c r="B11" s="137" t="str">
        <f>IF(E11="","",VLOOKUP('Opći dio'!$C$3,'Opći dio'!$L$6:$U$137,9,FALSE))</f>
        <v>Sveučilišta i veleučilišta u Republici Hrvatskoj</v>
      </c>
      <c r="C11" s="184">
        <f t="shared" si="0"/>
        <v>51</v>
      </c>
      <c r="D11" s="136" t="str">
        <f t="shared" si="1"/>
        <v xml:space="preserve">Pomoći EU </v>
      </c>
      <c r="E11" s="148">
        <v>632311700</v>
      </c>
      <c r="F11" s="188" t="str">
        <f t="shared" si="2"/>
        <v>Tekuće pomoći od institucija i tijela EU - ostalo</v>
      </c>
      <c r="G11" s="182">
        <v>970000</v>
      </c>
      <c r="H11" s="182">
        <v>120000</v>
      </c>
      <c r="I11" s="182">
        <v>500000</v>
      </c>
      <c r="K11" s="139" t="str">
        <f t="shared" si="3"/>
        <v>632</v>
      </c>
      <c r="L11" s="139" t="str">
        <f t="shared" si="4"/>
        <v>63</v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>08006</v>
      </c>
      <c r="B12" s="137" t="str">
        <f>IF(E12="","",VLOOKUP('Opći dio'!$C$3,'Opći dio'!$L$6:$U$137,9,FALSE))</f>
        <v>Sveučilišta i veleučilišta u Republici Hrvatskoj</v>
      </c>
      <c r="C12" s="184">
        <f t="shared" si="0"/>
        <v>51</v>
      </c>
      <c r="D12" s="136" t="str">
        <f t="shared" si="1"/>
        <v xml:space="preserve">Pomoći EU </v>
      </c>
      <c r="E12" s="148">
        <v>632311700</v>
      </c>
      <c r="F12" s="188" t="str">
        <f t="shared" si="2"/>
        <v>Tekuće pomoći od institucija i tijela EU - ostalo</v>
      </c>
      <c r="G12" s="182">
        <v>500000</v>
      </c>
      <c r="H12" s="182">
        <v>1050000</v>
      </c>
      <c r="I12" s="182">
        <v>800000</v>
      </c>
      <c r="K12" s="139" t="str">
        <f t="shared" si="3"/>
        <v>632</v>
      </c>
      <c r="L12" s="139" t="str">
        <f t="shared" si="4"/>
        <v>63</v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>08006</v>
      </c>
      <c r="B13" s="137" t="str">
        <f>IF(E13="","",VLOOKUP('Opći dio'!$C$3,'Opći dio'!$L$6:$U$137,9,FALSE))</f>
        <v>Sveučilišta i veleučilišta u Republici Hrvatskoj</v>
      </c>
      <c r="C13" s="184">
        <f t="shared" si="0"/>
        <v>51</v>
      </c>
      <c r="D13" s="136" t="str">
        <f t="shared" si="1"/>
        <v xml:space="preserve">Pomoći EU </v>
      </c>
      <c r="E13" s="148">
        <v>632311700</v>
      </c>
      <c r="F13" s="188" t="str">
        <f t="shared" si="2"/>
        <v>Tekuće pomoći od institucija i tijela EU - ostalo</v>
      </c>
      <c r="G13" s="182">
        <v>2085000</v>
      </c>
      <c r="H13" s="182">
        <v>1500000</v>
      </c>
      <c r="I13" s="182">
        <v>1000000</v>
      </c>
      <c r="K13" s="139" t="str">
        <f t="shared" si="3"/>
        <v>632</v>
      </c>
      <c r="L13" s="139" t="str">
        <f t="shared" si="4"/>
        <v>63</v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>08006</v>
      </c>
      <c r="B14" s="137" t="str">
        <f>IF(E14="","",VLOOKUP('Opći dio'!$C$3,'Opći dio'!$L$6:$U$137,9,FALSE))</f>
        <v>Sveučilišta i veleučilišta u Republici Hrvatskoj</v>
      </c>
      <c r="C14" s="184">
        <f t="shared" si="0"/>
        <v>52</v>
      </c>
      <c r="D14" s="136" t="str">
        <f t="shared" si="1"/>
        <v xml:space="preserve">Ostale pomoći i darovnice </v>
      </c>
      <c r="E14" s="148">
        <v>6361</v>
      </c>
      <c r="F14" s="188" t="str">
        <f t="shared" si="2"/>
        <v>Tekuće pomoći proračunskim korisnicima iz proračuna JLP(R)S koji im nije nadležan</v>
      </c>
      <c r="G14" s="182">
        <v>5000</v>
      </c>
      <c r="H14" s="182">
        <v>10000</v>
      </c>
      <c r="I14" s="182">
        <v>15000</v>
      </c>
      <c r="K14" s="139" t="str">
        <f t="shared" si="3"/>
        <v>636</v>
      </c>
      <c r="L14" s="139" t="str">
        <f t="shared" si="4"/>
        <v>63</v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>08006</v>
      </c>
      <c r="B15" s="137" t="str">
        <f>IF(E15="","",VLOOKUP('Opći dio'!$C$3,'Opći dio'!$L$6:$U$137,9,FALSE))</f>
        <v>Sveučilišta i veleučilišta u Republici Hrvatskoj</v>
      </c>
      <c r="C15" s="184">
        <f t="shared" si="0"/>
        <v>52</v>
      </c>
      <c r="D15" s="136" t="str">
        <f t="shared" si="1"/>
        <v xml:space="preserve">Ostale pomoći i darovnice </v>
      </c>
      <c r="E15" s="148">
        <v>6391</v>
      </c>
      <c r="F15" s="188" t="str">
        <f t="shared" si="2"/>
        <v>Tekući prijenosi između proračunskih korisnika istog proračuna</v>
      </c>
      <c r="G15" s="182">
        <v>0</v>
      </c>
      <c r="H15" s="182">
        <v>0</v>
      </c>
      <c r="I15" s="182">
        <v>0</v>
      </c>
      <c r="K15" s="139" t="str">
        <f t="shared" si="3"/>
        <v>639</v>
      </c>
      <c r="L15" s="139" t="str">
        <f t="shared" si="4"/>
        <v>63</v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>08006</v>
      </c>
      <c r="B16" s="137" t="str">
        <f>IF(E16="","",VLOOKUP('Opći dio'!$C$3,'Opći dio'!$L$6:$U$137,9,FALSE))</f>
        <v>Sveučilišta i veleučilišta u Republici Hrvatskoj</v>
      </c>
      <c r="C16" s="184">
        <f t="shared" si="0"/>
        <v>52</v>
      </c>
      <c r="D16" s="136" t="str">
        <f t="shared" si="1"/>
        <v xml:space="preserve">Ostale pomoći i darovnice </v>
      </c>
      <c r="E16" s="148">
        <v>6393</v>
      </c>
      <c r="F16" s="188" t="str">
        <f t="shared" si="2"/>
        <v>Tekući prijenosi između proračunskih korisnika istog proračuna temeljem prijenosa EU sredstava</v>
      </c>
      <c r="G16" s="182">
        <v>0</v>
      </c>
      <c r="H16" s="182">
        <v>0</v>
      </c>
      <c r="I16" s="182">
        <v>0</v>
      </c>
      <c r="K16" s="139" t="str">
        <f t="shared" si="3"/>
        <v>639</v>
      </c>
      <c r="L16" s="139" t="str">
        <f t="shared" si="4"/>
        <v>63</v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>08006</v>
      </c>
      <c r="B17" s="137" t="str">
        <f>IF(E17="","",VLOOKUP('Opći dio'!$C$3,'Opći dio'!$L$6:$U$137,9,FALSE))</f>
        <v>Sveučilišta i veleučilišta u Republici Hrvatskoj</v>
      </c>
      <c r="C17" s="184">
        <f t="shared" si="0"/>
        <v>52</v>
      </c>
      <c r="D17" s="136" t="str">
        <f t="shared" si="1"/>
        <v xml:space="preserve">Ostale pomoći i darovnice </v>
      </c>
      <c r="E17" s="148">
        <v>6391</v>
      </c>
      <c r="F17" s="188" t="str">
        <f t="shared" si="2"/>
        <v>Tekući prijenosi između proračunskih korisnika istog proračuna</v>
      </c>
      <c r="G17" s="182">
        <v>15876</v>
      </c>
      <c r="H17" s="182">
        <v>18000</v>
      </c>
      <c r="I17" s="182">
        <v>18000</v>
      </c>
      <c r="K17" s="139" t="str">
        <f t="shared" si="3"/>
        <v>639</v>
      </c>
      <c r="L17" s="139" t="str">
        <f t="shared" si="4"/>
        <v>63</v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>08006</v>
      </c>
      <c r="B18" s="137" t="str">
        <f>IF(E18="","",VLOOKUP('Opći dio'!$C$3,'Opći dio'!$L$6:$U$137,9,FALSE))</f>
        <v>Sveučilišta i veleučilišta u Republici Hrvatskoj</v>
      </c>
      <c r="C18" s="184">
        <f t="shared" si="0"/>
        <v>561</v>
      </c>
      <c r="D18" s="136" t="str">
        <f t="shared" si="1"/>
        <v>Europski socijalni fond (ESF)</v>
      </c>
      <c r="E18" s="148">
        <v>632310561</v>
      </c>
      <c r="F18" s="188" t="str">
        <f t="shared" si="2"/>
        <v>Europski socijalni fond (ESF)</v>
      </c>
      <c r="G18" s="182">
        <v>410446</v>
      </c>
      <c r="H18" s="182">
        <v>174747</v>
      </c>
      <c r="I18" s="182">
        <v>0</v>
      </c>
      <c r="K18" s="139" t="str">
        <f t="shared" si="3"/>
        <v>632</v>
      </c>
      <c r="L18" s="139" t="str">
        <f t="shared" si="4"/>
        <v>63</v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>08006</v>
      </c>
      <c r="B19" s="137" t="str">
        <f>IF(E19="","",VLOOKUP('Opći dio'!$C$3,'Opći dio'!$L$6:$U$137,9,FALSE))</f>
        <v>Sveučilišta i veleučilišta u Republici Hrvatskoj</v>
      </c>
      <c r="C19" s="184">
        <f t="shared" si="0"/>
        <v>12</v>
      </c>
      <c r="D19" s="136" t="str">
        <f t="shared" si="1"/>
        <v>Sredstva učešća za pomoći</v>
      </c>
      <c r="E19" s="148" t="s">
        <v>751</v>
      </c>
      <c r="F19" s="188" t="str">
        <f t="shared" si="2"/>
        <v>Prihodi iz nadležnog proračuna za financiranje redovne djelatnosti proračunskih korisnika</v>
      </c>
      <c r="G19" s="182">
        <v>72431</v>
      </c>
      <c r="H19" s="182">
        <v>30838</v>
      </c>
      <c r="I19" s="182">
        <v>0</v>
      </c>
      <c r="K19" s="139" t="str">
        <f t="shared" si="3"/>
        <v>671</v>
      </c>
      <c r="L19" s="139" t="str">
        <f t="shared" si="4"/>
        <v>67</v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>08006</v>
      </c>
      <c r="B20" s="137" t="str">
        <f>IF(E20="","",VLOOKUP('Opći dio'!$C$3,'Opći dio'!$L$6:$U$137,9,FALSE))</f>
        <v>Sveučilišta i veleučilišta u Republici Hrvatskoj</v>
      </c>
      <c r="C20" s="184">
        <f t="shared" si="0"/>
        <v>61</v>
      </c>
      <c r="D20" s="136" t="str">
        <f t="shared" si="1"/>
        <v xml:space="preserve">Donacije </v>
      </c>
      <c r="E20" s="148">
        <v>663120000</v>
      </c>
      <c r="F20" s="188" t="str">
        <f t="shared" si="2"/>
        <v>Tekuće donacije od neprofitnih organizacija</v>
      </c>
      <c r="G20" s="182">
        <v>84000</v>
      </c>
      <c r="H20" s="182">
        <v>84000</v>
      </c>
      <c r="I20" s="182">
        <v>0</v>
      </c>
      <c r="K20" s="139" t="str">
        <f t="shared" si="3"/>
        <v>663</v>
      </c>
      <c r="L20" s="139" t="str">
        <f t="shared" si="4"/>
        <v>66</v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>08006</v>
      </c>
      <c r="B21" s="137" t="str">
        <f>IF(E21="","",VLOOKUP('Opći dio'!$C$3,'Opći dio'!$L$6:$U$137,9,FALSE))</f>
        <v>Sveučilišta i veleučilišta u Republici Hrvatskoj</v>
      </c>
      <c r="C21" s="184">
        <f t="shared" si="0"/>
        <v>61</v>
      </c>
      <c r="D21" s="136" t="str">
        <f t="shared" si="1"/>
        <v xml:space="preserve">Donacije </v>
      </c>
      <c r="E21" s="148">
        <v>663140000</v>
      </c>
      <c r="F21" s="188" t="str">
        <f t="shared" si="2"/>
        <v>Tekuće donacije od ostalih subjekata izvan općeg proračuna</v>
      </c>
      <c r="G21" s="182">
        <v>40000</v>
      </c>
      <c r="H21" s="182">
        <v>40000</v>
      </c>
      <c r="I21" s="182">
        <v>40000</v>
      </c>
      <c r="K21" s="139" t="str">
        <f t="shared" si="3"/>
        <v>663</v>
      </c>
      <c r="L21" s="139" t="str">
        <f t="shared" si="4"/>
        <v>66</v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pane ySplit="2" topLeftCell="A57" activePane="bottomLeft" state="frozen"/>
      <selection pane="bottomLeft" activeCell="I86" sqref="I86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2" t="s">
        <v>731</v>
      </c>
      <c r="B1" s="272"/>
      <c r="C1" s="272"/>
      <c r="D1" s="272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:D66" si="0">IFERROR(VLOOKUP(C3,$O$6:$P$23,2,FALSE),"")</f>
        <v>Opći prihodi i primici</v>
      </c>
      <c r="E3" s="149">
        <v>3111</v>
      </c>
      <c r="F3" s="144" t="str">
        <f t="shared" ref="F3:F66" si="1">IFERROR(VLOOKUP(E3,$R$5:$T$129,2,FALSE),"")</f>
        <v>Plaće za redovan rad</v>
      </c>
      <c r="G3" s="183" t="s">
        <v>62</v>
      </c>
      <c r="H3" s="144" t="str">
        <f t="shared" ref="H3:H34" si="2">IFERROR(VLOOKUP(G3,$X$6:$Y$297,2,FALSE),"")</f>
        <v>REDOVNA DJELATNOST SVEUČILIŠTA U RIJECI</v>
      </c>
      <c r="I3" s="182">
        <v>17976830</v>
      </c>
      <c r="J3" s="182">
        <v>18010610</v>
      </c>
      <c r="K3" s="182">
        <v>18093450</v>
      </c>
      <c r="M3" s="139" t="str">
        <f t="shared" ref="M3:M34" si="3">LEFT(E3,3)</f>
        <v>311</v>
      </c>
      <c r="N3" s="139" t="str">
        <f t="shared" ref="N3:N34" si="4"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si="0"/>
        <v>Opći prihodi i primici</v>
      </c>
      <c r="E4" s="149">
        <v>3132</v>
      </c>
      <c r="F4" s="144" t="str">
        <f t="shared" si="1"/>
        <v>Doprinosi za obvezno zdravstveno osiguranje</v>
      </c>
      <c r="G4" s="183" t="s">
        <v>62</v>
      </c>
      <c r="H4" s="144" t="str">
        <f t="shared" si="2"/>
        <v>REDOVNA DJELATNOST SVEUČILIŠTA U RIJECI</v>
      </c>
      <c r="I4" s="182">
        <v>2949011</v>
      </c>
      <c r="J4" s="182">
        <v>2954550</v>
      </c>
      <c r="K4" s="182">
        <v>2968150</v>
      </c>
      <c r="M4" s="139" t="str">
        <f t="shared" si="3"/>
        <v>313</v>
      </c>
      <c r="N4" s="139" t="str">
        <f t="shared" si="4"/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0"/>
        <v>Opći prihodi i primici</v>
      </c>
      <c r="E5" s="149">
        <v>3121</v>
      </c>
      <c r="F5" s="144" t="str">
        <f t="shared" si="1"/>
        <v>Ostali rashodi za zaposlene</v>
      </c>
      <c r="G5" s="183" t="s">
        <v>62</v>
      </c>
      <c r="H5" s="144" t="str">
        <f t="shared" si="2"/>
        <v>REDOVNA DJELATNOST SVEUČILIŠTA U RIJECI</v>
      </c>
      <c r="I5" s="182">
        <v>444580</v>
      </c>
      <c r="J5" s="182">
        <v>457400</v>
      </c>
      <c r="K5" s="182">
        <v>459500</v>
      </c>
      <c r="M5" s="139" t="str">
        <f t="shared" si="3"/>
        <v>312</v>
      </c>
      <c r="N5" s="139" t="str">
        <f t="shared" si="4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 t="shared" ref="U5:U41" si="5">LEFT(R5,2)</f>
        <v>31</v>
      </c>
      <c r="V5" s="139" t="str">
        <f t="shared" ref="V5:V41" si="6"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0"/>
        <v>Opći prihodi i primici</v>
      </c>
      <c r="E6" s="149">
        <v>3212</v>
      </c>
      <c r="F6" s="144" t="str">
        <f t="shared" si="1"/>
        <v>Naknade za prijevoz, za rad na terenu i odvojeni život</v>
      </c>
      <c r="G6" s="183" t="s">
        <v>62</v>
      </c>
      <c r="H6" s="144" t="str">
        <f t="shared" si="2"/>
        <v>REDOVNA DJELATNOST SVEUČILIŠTA U RIJECI</v>
      </c>
      <c r="I6" s="182">
        <v>231220</v>
      </c>
      <c r="J6" s="182">
        <v>246400</v>
      </c>
      <c r="K6" s="182">
        <v>247530</v>
      </c>
      <c r="M6" s="139" t="str">
        <f t="shared" si="3"/>
        <v>321</v>
      </c>
      <c r="N6" s="139" t="str">
        <f t="shared" si="4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 t="shared" si="5"/>
        <v>31</v>
      </c>
      <c r="V6" s="139" t="str">
        <f t="shared" si="6"/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0"/>
        <v>Opći prihodi i primici</v>
      </c>
      <c r="E7" s="149">
        <v>3236</v>
      </c>
      <c r="F7" s="144" t="str">
        <f t="shared" si="1"/>
        <v>Zdravstvene i veterinarske usluge</v>
      </c>
      <c r="G7" s="183" t="s">
        <v>62</v>
      </c>
      <c r="H7" s="144" t="str">
        <f t="shared" si="2"/>
        <v>REDOVNA DJELATNOST SVEUČILIŠTA U RIJECI</v>
      </c>
      <c r="I7" s="182">
        <v>18800</v>
      </c>
      <c r="J7" s="182">
        <v>15900</v>
      </c>
      <c r="K7" s="182">
        <v>15970</v>
      </c>
      <c r="M7" s="139" t="str">
        <f t="shared" si="3"/>
        <v>323</v>
      </c>
      <c r="N7" s="139" t="str">
        <f t="shared" si="4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 t="shared" si="5"/>
        <v>31</v>
      </c>
      <c r="V7" s="139" t="str">
        <f t="shared" si="6"/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0"/>
        <v>Opći prihodi i primici</v>
      </c>
      <c r="E8" s="149">
        <v>3295</v>
      </c>
      <c r="F8" s="144" t="str">
        <f t="shared" si="1"/>
        <v>Pristojbe i naknade</v>
      </c>
      <c r="G8" s="183" t="s">
        <v>62</v>
      </c>
      <c r="H8" s="144" t="str">
        <f t="shared" si="2"/>
        <v>REDOVNA DJELATNOST SVEUČILIŠTA U RIJECI</v>
      </c>
      <c r="I8" s="182">
        <v>30932</v>
      </c>
      <c r="J8" s="182">
        <v>31430</v>
      </c>
      <c r="K8" s="182">
        <v>31570</v>
      </c>
      <c r="M8" s="139" t="str">
        <f t="shared" si="3"/>
        <v>329</v>
      </c>
      <c r="N8" s="139" t="str">
        <f t="shared" si="4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 t="shared" si="5"/>
        <v>31</v>
      </c>
      <c r="V8" s="139" t="str">
        <f t="shared" si="6"/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11</v>
      </c>
      <c r="D9" s="144" t="str">
        <f t="shared" si="0"/>
        <v>Opći prihodi i primici</v>
      </c>
      <c r="E9" s="149">
        <v>3225</v>
      </c>
      <c r="F9" s="144" t="str">
        <f t="shared" si="1"/>
        <v>Sitni inventar i auto gume</v>
      </c>
      <c r="G9" s="183" t="s">
        <v>775</v>
      </c>
      <c r="H9" s="144" t="str">
        <f t="shared" si="2"/>
        <v>PROGRAMSKO FINANCIRANJE JAVNIH VISOKIH UČILIŠTA</v>
      </c>
      <c r="I9" s="182">
        <v>35000</v>
      </c>
      <c r="J9" s="182">
        <v>35000</v>
      </c>
      <c r="K9" s="182">
        <v>35000</v>
      </c>
      <c r="M9" s="139" t="str">
        <f t="shared" si="3"/>
        <v>322</v>
      </c>
      <c r="N9" s="139" t="str">
        <f t="shared" si="4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 t="shared" si="5"/>
        <v>31</v>
      </c>
      <c r="V9" s="139" t="str">
        <f t="shared" si="6"/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11</v>
      </c>
      <c r="D10" s="144" t="str">
        <f t="shared" si="0"/>
        <v>Opći prihodi i primici</v>
      </c>
      <c r="E10" s="149">
        <v>3432</v>
      </c>
      <c r="F10" s="144" t="str">
        <f t="shared" si="1"/>
        <v>Negativne tečajne razlike i razlike zbog primjene valutne kl</v>
      </c>
      <c r="G10" s="183" t="s">
        <v>775</v>
      </c>
      <c r="H10" s="144" t="str">
        <f t="shared" si="2"/>
        <v>PROGRAMSKO FINANCIRANJE JAVNIH VISOKIH UČILIŠTA</v>
      </c>
      <c r="I10" s="182">
        <v>5000</v>
      </c>
      <c r="J10" s="182">
        <v>5000</v>
      </c>
      <c r="K10" s="182">
        <v>5000</v>
      </c>
      <c r="M10" s="139" t="str">
        <f t="shared" si="3"/>
        <v>343</v>
      </c>
      <c r="N10" s="139" t="str">
        <f t="shared" si="4"/>
        <v>34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si="5"/>
        <v>31</v>
      </c>
      <c r="V10" s="192" t="str">
        <f t="shared" si="6"/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0"/>
        <v>Opći prihodi i primici</v>
      </c>
      <c r="E11" s="149">
        <v>3211</v>
      </c>
      <c r="F11" s="144" t="str">
        <f t="shared" si="1"/>
        <v>Službena putovanja</v>
      </c>
      <c r="G11" s="183" t="s">
        <v>775</v>
      </c>
      <c r="H11" s="144" t="str">
        <f t="shared" si="2"/>
        <v>PROGRAMSKO FINANCIRANJE JAVNIH VISOKIH UČILIŠTA</v>
      </c>
      <c r="I11" s="182">
        <v>110000</v>
      </c>
      <c r="J11" s="182">
        <v>110000</v>
      </c>
      <c r="K11" s="182">
        <v>110000</v>
      </c>
      <c r="M11" s="139" t="str">
        <f t="shared" si="3"/>
        <v>321</v>
      </c>
      <c r="N11" s="139" t="str">
        <f t="shared" si="4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5"/>
        <v>32</v>
      </c>
      <c r="V11" s="139" t="str">
        <f t="shared" si="6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0"/>
        <v>Opći prihodi i primici</v>
      </c>
      <c r="E12" s="149">
        <v>3213</v>
      </c>
      <c r="F12" s="144" t="str">
        <f t="shared" si="1"/>
        <v>Stručno usavršavanje zaposlenika</v>
      </c>
      <c r="G12" s="183" t="s">
        <v>775</v>
      </c>
      <c r="H12" s="144" t="str">
        <f t="shared" si="2"/>
        <v>PROGRAMSKO FINANCIRANJE JAVNIH VISOKIH UČILIŠTA</v>
      </c>
      <c r="I12" s="182">
        <v>100000</v>
      </c>
      <c r="J12" s="182">
        <v>100000</v>
      </c>
      <c r="K12" s="182">
        <v>100000</v>
      </c>
      <c r="M12" s="139" t="str">
        <f t="shared" si="3"/>
        <v>321</v>
      </c>
      <c r="N12" s="139" t="str">
        <f t="shared" si="4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5"/>
        <v>32</v>
      </c>
      <c r="V12" s="139" t="str">
        <f t="shared" si="6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0"/>
        <v>Opći prihodi i primici</v>
      </c>
      <c r="E13" s="149">
        <v>3221</v>
      </c>
      <c r="F13" s="144" t="str">
        <f t="shared" si="1"/>
        <v>Uredski materijal i ostali materijalni rashodi</v>
      </c>
      <c r="G13" s="183" t="s">
        <v>775</v>
      </c>
      <c r="H13" s="144" t="str">
        <f t="shared" si="2"/>
        <v>PROGRAMSKO FINANCIRANJE JAVNIH VISOKIH UČILIŠTA</v>
      </c>
      <c r="I13" s="182">
        <v>220000</v>
      </c>
      <c r="J13" s="182">
        <v>220000</v>
      </c>
      <c r="K13" s="182">
        <v>220000</v>
      </c>
      <c r="M13" s="139" t="str">
        <f t="shared" si="3"/>
        <v>322</v>
      </c>
      <c r="N13" s="139" t="str">
        <f t="shared" si="4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5"/>
        <v>32</v>
      </c>
      <c r="V13" s="139" t="str">
        <f t="shared" si="6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0"/>
        <v>Opći prihodi i primici</v>
      </c>
      <c r="E14" s="149">
        <v>3223</v>
      </c>
      <c r="F14" s="144" t="str">
        <f t="shared" si="1"/>
        <v>Energija</v>
      </c>
      <c r="G14" s="183" t="s">
        <v>775</v>
      </c>
      <c r="H14" s="144" t="str">
        <f t="shared" si="2"/>
        <v>PROGRAMSKO FINANCIRANJE JAVNIH VISOKIH UČILIŠTA</v>
      </c>
      <c r="I14" s="182">
        <v>320000</v>
      </c>
      <c r="J14" s="182">
        <v>320000</v>
      </c>
      <c r="K14" s="182">
        <v>320000</v>
      </c>
      <c r="M14" s="139" t="str">
        <f t="shared" si="3"/>
        <v>322</v>
      </c>
      <c r="N14" s="139" t="str">
        <f t="shared" si="4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5"/>
        <v>32</v>
      </c>
      <c r="V14" s="139" t="str">
        <f t="shared" si="6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11</v>
      </c>
      <c r="D15" s="144" t="str">
        <f t="shared" si="0"/>
        <v>Opći prihodi i primici</v>
      </c>
      <c r="E15" s="149">
        <v>3224</v>
      </c>
      <c r="F15" s="144" t="str">
        <f t="shared" si="1"/>
        <v>Materijal i dijelovi za tekuće i investicijsko održavanje</v>
      </c>
      <c r="G15" s="183" t="s">
        <v>775</v>
      </c>
      <c r="H15" s="144" t="str">
        <f t="shared" si="2"/>
        <v>PROGRAMSKO FINANCIRANJE JAVNIH VISOKIH UČILIŠTA</v>
      </c>
      <c r="I15" s="182">
        <v>115000</v>
      </c>
      <c r="J15" s="182">
        <v>115000</v>
      </c>
      <c r="K15" s="182">
        <v>115000</v>
      </c>
      <c r="M15" s="139" t="str">
        <f t="shared" si="3"/>
        <v>322</v>
      </c>
      <c r="N15" s="139" t="str">
        <f t="shared" si="4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5"/>
        <v>32</v>
      </c>
      <c r="V15" s="139" t="str">
        <f t="shared" si="6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11</v>
      </c>
      <c r="D16" s="144" t="str">
        <f t="shared" si="0"/>
        <v>Opći prihodi i primici</v>
      </c>
      <c r="E16" s="149">
        <v>3225</v>
      </c>
      <c r="F16" s="144" t="str">
        <f t="shared" si="1"/>
        <v>Sitni inventar i auto gume</v>
      </c>
      <c r="G16" s="183" t="s">
        <v>775</v>
      </c>
      <c r="H16" s="144" t="str">
        <f t="shared" si="2"/>
        <v>PROGRAMSKO FINANCIRANJE JAVNIH VISOKIH UČILIŠTA</v>
      </c>
      <c r="I16" s="182">
        <v>14000</v>
      </c>
      <c r="J16" s="182">
        <v>14000</v>
      </c>
      <c r="K16" s="182">
        <v>14000</v>
      </c>
      <c r="M16" s="139" t="str">
        <f t="shared" si="3"/>
        <v>322</v>
      </c>
      <c r="N16" s="139" t="str">
        <f t="shared" si="4"/>
        <v>32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5"/>
        <v>32</v>
      </c>
      <c r="V16" s="139" t="str">
        <f t="shared" si="6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11</v>
      </c>
      <c r="D17" s="144" t="str">
        <f t="shared" si="0"/>
        <v>Opći prihodi i primici</v>
      </c>
      <c r="E17" s="149">
        <v>3227</v>
      </c>
      <c r="F17" s="144" t="str">
        <f t="shared" si="1"/>
        <v>Službena, radna i zaštitna odjeća i obuća</v>
      </c>
      <c r="G17" s="183" t="s">
        <v>775</v>
      </c>
      <c r="H17" s="144" t="str">
        <f t="shared" si="2"/>
        <v>PROGRAMSKO FINANCIRANJE JAVNIH VISOKIH UČILIŠTA</v>
      </c>
      <c r="I17" s="182">
        <v>220000</v>
      </c>
      <c r="J17" s="182">
        <v>220000</v>
      </c>
      <c r="K17" s="182">
        <v>220000</v>
      </c>
      <c r="M17" s="139" t="str">
        <f t="shared" si="3"/>
        <v>322</v>
      </c>
      <c r="N17" s="139" t="str">
        <f t="shared" si="4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5"/>
        <v>32</v>
      </c>
      <c r="V17" s="139" t="str">
        <f t="shared" si="6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11</v>
      </c>
      <c r="D18" s="144" t="str">
        <f t="shared" si="0"/>
        <v>Opći prihodi i primici</v>
      </c>
      <c r="E18" s="149">
        <v>3231</v>
      </c>
      <c r="F18" s="144" t="str">
        <f t="shared" si="1"/>
        <v>Usluge telefona, pošte i prijevoza</v>
      </c>
      <c r="G18" s="183" t="s">
        <v>775</v>
      </c>
      <c r="H18" s="144" t="str">
        <f t="shared" si="2"/>
        <v>PROGRAMSKO FINANCIRANJE JAVNIH VISOKIH UČILIŠTA</v>
      </c>
      <c r="I18" s="182">
        <v>200000</v>
      </c>
      <c r="J18" s="182">
        <v>200000</v>
      </c>
      <c r="K18" s="182">
        <v>200000</v>
      </c>
      <c r="M18" s="139" t="str">
        <f t="shared" si="3"/>
        <v>323</v>
      </c>
      <c r="N18" s="139" t="str">
        <f t="shared" si="4"/>
        <v>32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5"/>
        <v>32</v>
      </c>
      <c r="V18" s="139" t="str">
        <f t="shared" si="6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11</v>
      </c>
      <c r="D19" s="144" t="str">
        <f t="shared" si="0"/>
        <v>Opći prihodi i primici</v>
      </c>
      <c r="E19" s="149">
        <v>3232</v>
      </c>
      <c r="F19" s="144" t="str">
        <f t="shared" si="1"/>
        <v>Usluge tekućeg i investicijskog održavanja</v>
      </c>
      <c r="G19" s="183" t="s">
        <v>775</v>
      </c>
      <c r="H19" s="144" t="str">
        <f t="shared" si="2"/>
        <v>PROGRAMSKO FINANCIRANJE JAVNIH VISOKIH UČILIŠTA</v>
      </c>
      <c r="I19" s="182">
        <v>92000</v>
      </c>
      <c r="J19" s="182">
        <v>92000</v>
      </c>
      <c r="K19" s="182">
        <v>92000</v>
      </c>
      <c r="M19" s="139" t="str">
        <f t="shared" si="3"/>
        <v>323</v>
      </c>
      <c r="N19" s="139" t="str">
        <f t="shared" si="4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5"/>
        <v>32</v>
      </c>
      <c r="V19" s="139" t="str">
        <f t="shared" si="6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11</v>
      </c>
      <c r="D20" s="144" t="str">
        <f t="shared" si="0"/>
        <v>Opći prihodi i primici</v>
      </c>
      <c r="E20" s="149">
        <v>3233</v>
      </c>
      <c r="F20" s="144" t="str">
        <f t="shared" si="1"/>
        <v>Usluge promidžbe i informiranja</v>
      </c>
      <c r="G20" s="183" t="s">
        <v>775</v>
      </c>
      <c r="H20" s="144" t="str">
        <f t="shared" si="2"/>
        <v>PROGRAMSKO FINANCIRANJE JAVNIH VISOKIH UČILIŠTA</v>
      </c>
      <c r="I20" s="182">
        <v>118847</v>
      </c>
      <c r="J20" s="182">
        <v>118847</v>
      </c>
      <c r="K20" s="182">
        <v>118847</v>
      </c>
      <c r="M20" s="139" t="str">
        <f t="shared" si="3"/>
        <v>323</v>
      </c>
      <c r="N20" s="139" t="str">
        <f t="shared" si="4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5"/>
        <v>32</v>
      </c>
      <c r="V20" s="139" t="str">
        <f t="shared" si="6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11</v>
      </c>
      <c r="D21" s="144" t="str">
        <f t="shared" si="0"/>
        <v>Opći prihodi i primici</v>
      </c>
      <c r="E21" s="149">
        <v>3234</v>
      </c>
      <c r="F21" s="144" t="str">
        <f t="shared" si="1"/>
        <v>Komunalne usluge</v>
      </c>
      <c r="G21" s="183" t="s">
        <v>775</v>
      </c>
      <c r="H21" s="144" t="str">
        <f t="shared" si="2"/>
        <v>PROGRAMSKO FINANCIRANJE JAVNIH VISOKIH UČILIŠTA</v>
      </c>
      <c r="I21" s="182">
        <v>495000</v>
      </c>
      <c r="J21" s="182">
        <v>495000</v>
      </c>
      <c r="K21" s="182">
        <v>495000</v>
      </c>
      <c r="M21" s="139" t="str">
        <f t="shared" si="3"/>
        <v>323</v>
      </c>
      <c r="N21" s="139" t="str">
        <f t="shared" si="4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5"/>
        <v>32</v>
      </c>
      <c r="V21" s="139" t="str">
        <f t="shared" si="6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11</v>
      </c>
      <c r="D22" s="144" t="str">
        <f t="shared" si="0"/>
        <v>Opći prihodi i primici</v>
      </c>
      <c r="E22" s="149">
        <v>3235</v>
      </c>
      <c r="F22" s="144" t="str">
        <f t="shared" si="1"/>
        <v>Zakupnine i najamnine</v>
      </c>
      <c r="G22" s="183" t="s">
        <v>775</v>
      </c>
      <c r="H22" s="144" t="str">
        <f t="shared" si="2"/>
        <v>PROGRAMSKO FINANCIRANJE JAVNIH VISOKIH UČILIŠTA</v>
      </c>
      <c r="I22" s="182">
        <v>250000</v>
      </c>
      <c r="J22" s="182">
        <v>250000</v>
      </c>
      <c r="K22" s="182">
        <v>250000</v>
      </c>
      <c r="M22" s="139" t="str">
        <f t="shared" si="3"/>
        <v>323</v>
      </c>
      <c r="N22" s="139" t="str">
        <f t="shared" si="4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5"/>
        <v>32</v>
      </c>
      <c r="V22" s="139" t="str">
        <f t="shared" si="6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11</v>
      </c>
      <c r="D23" s="144" t="str">
        <f t="shared" si="0"/>
        <v>Opći prihodi i primici</v>
      </c>
      <c r="E23" s="149">
        <v>3237</v>
      </c>
      <c r="F23" s="144" t="str">
        <f t="shared" si="1"/>
        <v>Intelektualne i osobne usluge</v>
      </c>
      <c r="G23" s="183" t="s">
        <v>775</v>
      </c>
      <c r="H23" s="144" t="str">
        <f t="shared" si="2"/>
        <v>PROGRAMSKO FINANCIRANJE JAVNIH VISOKIH UČILIŠTA</v>
      </c>
      <c r="I23" s="182">
        <v>190000</v>
      </c>
      <c r="J23" s="182">
        <v>190000</v>
      </c>
      <c r="K23" s="182">
        <v>190000</v>
      </c>
      <c r="M23" s="139" t="str">
        <f t="shared" si="3"/>
        <v>323</v>
      </c>
      <c r="N23" s="139" t="str">
        <f t="shared" si="4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5"/>
        <v>32</v>
      </c>
      <c r="V23" s="139" t="str">
        <f t="shared" si="6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11</v>
      </c>
      <c r="D24" s="144" t="str">
        <f t="shared" si="0"/>
        <v>Opći prihodi i primici</v>
      </c>
      <c r="E24" s="149">
        <v>3238</v>
      </c>
      <c r="F24" s="144" t="str">
        <f t="shared" si="1"/>
        <v>Računalne usluge</v>
      </c>
      <c r="G24" s="183" t="s">
        <v>775</v>
      </c>
      <c r="H24" s="144" t="str">
        <f t="shared" si="2"/>
        <v>PROGRAMSKO FINANCIRANJE JAVNIH VISOKIH UČILIŠTA</v>
      </c>
      <c r="I24" s="182">
        <v>180000</v>
      </c>
      <c r="J24" s="182">
        <v>180000</v>
      </c>
      <c r="K24" s="182">
        <v>180000</v>
      </c>
      <c r="M24" s="139" t="str">
        <f t="shared" si="3"/>
        <v>323</v>
      </c>
      <c r="N24" s="139" t="str">
        <f t="shared" si="4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5"/>
        <v>32</v>
      </c>
      <c r="V24" s="139" t="str">
        <f t="shared" si="6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11</v>
      </c>
      <c r="D25" s="144" t="str">
        <f t="shared" si="0"/>
        <v>Opći prihodi i primici</v>
      </c>
      <c r="E25" s="149">
        <v>3239</v>
      </c>
      <c r="F25" s="144" t="str">
        <f t="shared" si="1"/>
        <v>Ostale usluge</v>
      </c>
      <c r="G25" s="183" t="s">
        <v>775</v>
      </c>
      <c r="H25" s="144" t="str">
        <f t="shared" si="2"/>
        <v>PROGRAMSKO FINANCIRANJE JAVNIH VISOKIH UČILIŠTA</v>
      </c>
      <c r="I25" s="182">
        <v>98000</v>
      </c>
      <c r="J25" s="182">
        <v>98000</v>
      </c>
      <c r="K25" s="182">
        <v>98000</v>
      </c>
      <c r="M25" s="139" t="str">
        <f t="shared" si="3"/>
        <v>323</v>
      </c>
      <c r="N25" s="139" t="str">
        <f t="shared" si="4"/>
        <v>32</v>
      </c>
      <c r="R25" s="139">
        <v>3234</v>
      </c>
      <c r="S25" s="139" t="s">
        <v>94</v>
      </c>
      <c r="U25" s="139" t="str">
        <f t="shared" si="5"/>
        <v>32</v>
      </c>
      <c r="V25" s="139" t="str">
        <f t="shared" si="6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11</v>
      </c>
      <c r="D26" s="144" t="str">
        <f t="shared" si="0"/>
        <v>Opći prihodi i primici</v>
      </c>
      <c r="E26" s="149">
        <v>3295</v>
      </c>
      <c r="F26" s="144" t="str">
        <f t="shared" si="1"/>
        <v>Pristojbe i naknade</v>
      </c>
      <c r="G26" s="183" t="s">
        <v>775</v>
      </c>
      <c r="H26" s="144" t="str">
        <f t="shared" si="2"/>
        <v>PROGRAMSKO FINANCIRANJE JAVNIH VISOKIH UČILIŠTA</v>
      </c>
      <c r="I26" s="182">
        <v>5000</v>
      </c>
      <c r="J26" s="182">
        <v>5000</v>
      </c>
      <c r="K26" s="182">
        <v>5000</v>
      </c>
      <c r="M26" s="139" t="str">
        <f t="shared" si="3"/>
        <v>329</v>
      </c>
      <c r="N26" s="139" t="str">
        <f t="shared" si="4"/>
        <v>32</v>
      </c>
      <c r="R26" s="139">
        <v>3235</v>
      </c>
      <c r="S26" s="139" t="s">
        <v>114</v>
      </c>
      <c r="U26" s="139" t="str">
        <f t="shared" si="5"/>
        <v>32</v>
      </c>
      <c r="V26" s="139" t="str">
        <f t="shared" si="6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11</v>
      </c>
      <c r="D27" s="144" t="str">
        <f t="shared" si="0"/>
        <v>Opći prihodi i primici</v>
      </c>
      <c r="E27" s="149">
        <v>3292</v>
      </c>
      <c r="F27" s="144" t="str">
        <f t="shared" si="1"/>
        <v>Premije osiguranja</v>
      </c>
      <c r="G27" s="183" t="s">
        <v>775</v>
      </c>
      <c r="H27" s="144" t="str">
        <f t="shared" si="2"/>
        <v>PROGRAMSKO FINANCIRANJE JAVNIH VISOKIH UČILIŠTA</v>
      </c>
      <c r="I27" s="182">
        <v>35000</v>
      </c>
      <c r="J27" s="182">
        <v>35000</v>
      </c>
      <c r="K27" s="182">
        <v>35000</v>
      </c>
      <c r="M27" s="139" t="str">
        <f t="shared" si="3"/>
        <v>329</v>
      </c>
      <c r="N27" s="139" t="str">
        <f t="shared" si="4"/>
        <v>32</v>
      </c>
      <c r="R27" s="139">
        <v>3236</v>
      </c>
      <c r="S27" s="139" t="s">
        <v>57</v>
      </c>
      <c r="U27" s="139" t="str">
        <f t="shared" si="5"/>
        <v>32</v>
      </c>
      <c r="V27" s="139" t="str">
        <f t="shared" si="6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11</v>
      </c>
      <c r="D28" s="144" t="str">
        <f t="shared" si="0"/>
        <v>Opći prihodi i primici</v>
      </c>
      <c r="E28" s="149">
        <v>3294</v>
      </c>
      <c r="F28" s="144" t="str">
        <f t="shared" si="1"/>
        <v>Članarine i norme</v>
      </c>
      <c r="G28" s="183" t="s">
        <v>775</v>
      </c>
      <c r="H28" s="144" t="str">
        <f t="shared" si="2"/>
        <v>PROGRAMSKO FINANCIRANJE JAVNIH VISOKIH UČILIŠTA</v>
      </c>
      <c r="I28" s="182">
        <v>150000</v>
      </c>
      <c r="J28" s="182">
        <v>150000</v>
      </c>
      <c r="K28" s="182">
        <v>150000</v>
      </c>
      <c r="M28" s="139" t="str">
        <f t="shared" si="3"/>
        <v>329</v>
      </c>
      <c r="N28" s="139" t="str">
        <f t="shared" si="4"/>
        <v>32</v>
      </c>
      <c r="R28" s="139">
        <v>3237</v>
      </c>
      <c r="S28" s="139" t="s">
        <v>70</v>
      </c>
      <c r="U28" s="139" t="str">
        <f t="shared" si="5"/>
        <v>32</v>
      </c>
      <c r="V28" s="139" t="str">
        <f t="shared" si="6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11</v>
      </c>
      <c r="D29" s="144" t="str">
        <f t="shared" si="0"/>
        <v>Opći prihodi i primici</v>
      </c>
      <c r="E29" s="149">
        <v>3299</v>
      </c>
      <c r="F29" s="144" t="str">
        <f t="shared" si="1"/>
        <v>Ostali nespomenuti rashodi poslovanja</v>
      </c>
      <c r="G29" s="183" t="s">
        <v>775</v>
      </c>
      <c r="H29" s="144" t="str">
        <f t="shared" si="2"/>
        <v>PROGRAMSKO FINANCIRANJE JAVNIH VISOKIH UČILIŠTA</v>
      </c>
      <c r="I29" s="182">
        <v>65000</v>
      </c>
      <c r="J29" s="182">
        <v>65000</v>
      </c>
      <c r="K29" s="182">
        <v>65000</v>
      </c>
      <c r="M29" s="139" t="str">
        <f t="shared" si="3"/>
        <v>329</v>
      </c>
      <c r="N29" s="139" t="str">
        <f t="shared" si="4"/>
        <v>32</v>
      </c>
      <c r="R29" s="139">
        <v>3238</v>
      </c>
      <c r="S29" s="139" t="s">
        <v>107</v>
      </c>
      <c r="U29" s="139" t="str">
        <f t="shared" si="5"/>
        <v>32</v>
      </c>
      <c r="V29" s="139" t="str">
        <f t="shared" si="6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11</v>
      </c>
      <c r="D30" s="144" t="str">
        <f t="shared" si="0"/>
        <v>Opći prihodi i primici</v>
      </c>
      <c r="E30" s="149">
        <v>3431</v>
      </c>
      <c r="F30" s="144" t="str">
        <f t="shared" si="1"/>
        <v>Bankarske usluge i usluge platnog prometa</v>
      </c>
      <c r="G30" s="183" t="s">
        <v>775</v>
      </c>
      <c r="H30" s="144" t="str">
        <f t="shared" si="2"/>
        <v>PROGRAMSKO FINANCIRANJE JAVNIH VISOKIH UČILIŠTA</v>
      </c>
      <c r="I30" s="182">
        <v>22000</v>
      </c>
      <c r="J30" s="182">
        <v>22000</v>
      </c>
      <c r="K30" s="182">
        <v>22000</v>
      </c>
      <c r="M30" s="139" t="str">
        <f t="shared" si="3"/>
        <v>343</v>
      </c>
      <c r="N30" s="139" t="str">
        <f t="shared" si="4"/>
        <v>34</v>
      </c>
      <c r="R30" s="139">
        <v>3239</v>
      </c>
      <c r="S30" s="139" t="s">
        <v>87</v>
      </c>
      <c r="U30" s="139" t="str">
        <f t="shared" si="5"/>
        <v>32</v>
      </c>
      <c r="V30" s="139" t="str">
        <f t="shared" si="6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11</v>
      </c>
      <c r="D31" s="144" t="str">
        <f t="shared" si="0"/>
        <v>Opći prihodi i primici</v>
      </c>
      <c r="E31" s="149">
        <v>4221</v>
      </c>
      <c r="F31" s="144" t="str">
        <f t="shared" si="1"/>
        <v>Uredska oprema i namještaj</v>
      </c>
      <c r="G31" s="183" t="s">
        <v>775</v>
      </c>
      <c r="H31" s="144" t="str">
        <f t="shared" si="2"/>
        <v>PROGRAMSKO FINANCIRANJE JAVNIH VISOKIH UČILIŠTA</v>
      </c>
      <c r="I31" s="182">
        <v>87000</v>
      </c>
      <c r="J31" s="182">
        <v>87000</v>
      </c>
      <c r="K31" s="182">
        <v>87000</v>
      </c>
      <c r="M31" s="139" t="str">
        <f t="shared" si="3"/>
        <v>422</v>
      </c>
      <c r="N31" s="139" t="str">
        <f t="shared" si="4"/>
        <v>42</v>
      </c>
      <c r="R31" s="139">
        <v>3241</v>
      </c>
      <c r="S31" s="139" t="s">
        <v>84</v>
      </c>
      <c r="U31" s="139" t="str">
        <f t="shared" si="5"/>
        <v>32</v>
      </c>
      <c r="V31" s="139" t="str">
        <f t="shared" si="6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11</v>
      </c>
      <c r="D32" s="144" t="str">
        <f t="shared" si="0"/>
        <v>Opći prihodi i primici</v>
      </c>
      <c r="E32" s="149">
        <v>4241</v>
      </c>
      <c r="F32" s="144" t="str">
        <f t="shared" si="1"/>
        <v>Knjige</v>
      </c>
      <c r="G32" s="183" t="s">
        <v>775</v>
      </c>
      <c r="H32" s="144" t="str">
        <f t="shared" si="2"/>
        <v>PROGRAMSKO FINANCIRANJE JAVNIH VISOKIH UČILIŠTA</v>
      </c>
      <c r="I32" s="182">
        <v>100000</v>
      </c>
      <c r="J32" s="182">
        <v>100000</v>
      </c>
      <c r="K32" s="182">
        <v>100000</v>
      </c>
      <c r="M32" s="139" t="str">
        <f t="shared" si="3"/>
        <v>424</v>
      </c>
      <c r="N32" s="139" t="str">
        <f t="shared" si="4"/>
        <v>42</v>
      </c>
      <c r="R32" s="139">
        <v>3291</v>
      </c>
      <c r="S32" s="139" t="s">
        <v>85</v>
      </c>
      <c r="U32" s="139" t="str">
        <f t="shared" si="5"/>
        <v>32</v>
      </c>
      <c r="V32" s="139" t="str">
        <f t="shared" si="6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11</v>
      </c>
      <c r="D33" s="144" t="str">
        <f t="shared" si="0"/>
        <v>Opći prihodi i primici</v>
      </c>
      <c r="E33" s="149">
        <v>4222</v>
      </c>
      <c r="F33" s="144" t="str">
        <f t="shared" si="1"/>
        <v>Komunikacijska oprema</v>
      </c>
      <c r="G33" s="183" t="s">
        <v>775</v>
      </c>
      <c r="H33" s="144" t="str">
        <f t="shared" si="2"/>
        <v>PROGRAMSKO FINANCIRANJE JAVNIH VISOKIH UČILIŠTA</v>
      </c>
      <c r="I33" s="182">
        <v>8000</v>
      </c>
      <c r="J33" s="182">
        <v>8000</v>
      </c>
      <c r="K33" s="182">
        <v>8000</v>
      </c>
      <c r="M33" s="139" t="str">
        <f t="shared" si="3"/>
        <v>422</v>
      </c>
      <c r="N33" s="139" t="str">
        <f t="shared" si="4"/>
        <v>42</v>
      </c>
      <c r="R33" s="139">
        <v>3292</v>
      </c>
      <c r="S33" s="139" t="s">
        <v>78</v>
      </c>
      <c r="U33" s="139" t="str">
        <f t="shared" si="5"/>
        <v>32</v>
      </c>
      <c r="V33" s="139" t="str">
        <f t="shared" si="6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11</v>
      </c>
      <c r="D34" s="144" t="str">
        <f t="shared" si="0"/>
        <v>Opći prihodi i primici</v>
      </c>
      <c r="E34" s="149">
        <v>3722</v>
      </c>
      <c r="F34" s="144" t="str">
        <f t="shared" si="1"/>
        <v>Naknade građanima i kućanstvima u naravi</v>
      </c>
      <c r="G34" s="183" t="s">
        <v>775</v>
      </c>
      <c r="H34" s="144" t="str">
        <f t="shared" si="2"/>
        <v>PROGRAMSKO FINANCIRANJE JAVNIH VISOKIH UČILIŠTA</v>
      </c>
      <c r="I34" s="182">
        <v>33000</v>
      </c>
      <c r="J34" s="182">
        <v>33000</v>
      </c>
      <c r="K34" s="182">
        <v>33000</v>
      </c>
      <c r="M34" s="139" t="str">
        <f t="shared" si="3"/>
        <v>372</v>
      </c>
      <c r="N34" s="139" t="str">
        <f t="shared" si="4"/>
        <v>37</v>
      </c>
      <c r="R34" s="139">
        <v>3293</v>
      </c>
      <c r="S34" s="139" t="s">
        <v>88</v>
      </c>
      <c r="U34" s="139" t="str">
        <f t="shared" si="5"/>
        <v>32</v>
      </c>
      <c r="V34" s="139" t="str">
        <f t="shared" si="6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31</v>
      </c>
      <c r="D35" s="144" t="str">
        <f t="shared" si="0"/>
        <v>Vlastiti prihodi</v>
      </c>
      <c r="E35" s="149">
        <v>3132</v>
      </c>
      <c r="F35" s="144" t="str">
        <f t="shared" si="1"/>
        <v>Doprinosi za obvezno zdravstveno osiguranje</v>
      </c>
      <c r="G35" s="183" t="s">
        <v>178</v>
      </c>
      <c r="H35" s="144" t="str">
        <f t="shared" ref="H35:H66" si="7">IFERROR(VLOOKUP(G35,$X$6:$Y$297,2,FALSE),"")</f>
        <v>REDOVNA DJELATNOST SVEUČILIŠTA U RIJECI (IZ EVIDENCIJSKIH PRIHODA)</v>
      </c>
      <c r="I35" s="182">
        <v>330000</v>
      </c>
      <c r="J35" s="182">
        <v>330000</v>
      </c>
      <c r="K35" s="182">
        <v>297000</v>
      </c>
      <c r="M35" s="139" t="str">
        <f t="shared" ref="M35:M67" si="8">LEFT(E35,3)</f>
        <v>313</v>
      </c>
      <c r="N35" s="139" t="str">
        <f t="shared" ref="N35:N67" si="9">LEFT(E35,2)</f>
        <v>31</v>
      </c>
      <c r="R35" s="139">
        <v>3293</v>
      </c>
      <c r="S35" s="139" t="s">
        <v>135</v>
      </c>
      <c r="U35" s="139" t="str">
        <f t="shared" si="5"/>
        <v>32</v>
      </c>
      <c r="V35" s="139" t="str">
        <f t="shared" si="6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31</v>
      </c>
      <c r="D36" s="144" t="str">
        <f t="shared" si="0"/>
        <v>Vlastiti prihodi</v>
      </c>
      <c r="E36" s="149">
        <v>3121</v>
      </c>
      <c r="F36" s="144" t="str">
        <f t="shared" si="1"/>
        <v>Ostali rashodi za zaposlene</v>
      </c>
      <c r="G36" s="183" t="s">
        <v>178</v>
      </c>
      <c r="H36" s="144" t="str">
        <f t="shared" si="7"/>
        <v>REDOVNA DJELATNOST SVEUČILIŠTA U RIJECI (IZ EVIDENCIJSKIH PRIHODA)</v>
      </c>
      <c r="I36" s="182">
        <v>960000</v>
      </c>
      <c r="J36" s="182">
        <v>965000</v>
      </c>
      <c r="K36" s="182">
        <v>950000</v>
      </c>
      <c r="M36" s="139" t="str">
        <f t="shared" si="8"/>
        <v>312</v>
      </c>
      <c r="N36" s="139" t="str">
        <f t="shared" si="9"/>
        <v>31</v>
      </c>
      <c r="R36" s="139">
        <v>3294</v>
      </c>
      <c r="S36" s="139" t="s">
        <v>89</v>
      </c>
      <c r="U36" s="139" t="str">
        <f t="shared" si="5"/>
        <v>32</v>
      </c>
      <c r="V36" s="139" t="str">
        <f t="shared" si="6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31</v>
      </c>
      <c r="D37" s="144" t="str">
        <f t="shared" si="0"/>
        <v>Vlastiti prihodi</v>
      </c>
      <c r="E37" s="149">
        <v>3211</v>
      </c>
      <c r="F37" s="144" t="str">
        <f t="shared" si="1"/>
        <v>Službena putovanja</v>
      </c>
      <c r="G37" s="183" t="s">
        <v>178</v>
      </c>
      <c r="H37" s="144" t="str">
        <f t="shared" si="7"/>
        <v>REDOVNA DJELATNOST SVEUČILIŠTA U RIJECI (IZ EVIDENCIJSKIH PRIHODA)</v>
      </c>
      <c r="I37" s="182">
        <v>55000</v>
      </c>
      <c r="J37" s="182">
        <v>56000</v>
      </c>
      <c r="K37" s="182">
        <v>53000</v>
      </c>
      <c r="M37" s="139" t="str">
        <f t="shared" si="8"/>
        <v>321</v>
      </c>
      <c r="N37" s="139" t="str">
        <f t="shared" si="9"/>
        <v>32</v>
      </c>
      <c r="R37" s="139">
        <v>3295</v>
      </c>
      <c r="S37" s="139" t="s">
        <v>58</v>
      </c>
      <c r="U37" s="139" t="str">
        <f t="shared" si="5"/>
        <v>32</v>
      </c>
      <c r="V37" s="139" t="str">
        <f t="shared" si="6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31</v>
      </c>
      <c r="D38" s="144" t="str">
        <f t="shared" si="0"/>
        <v>Vlastiti prihodi</v>
      </c>
      <c r="E38" s="149">
        <v>3212</v>
      </c>
      <c r="F38" s="144" t="str">
        <f t="shared" si="1"/>
        <v>Naknade za prijevoz, za rad na terenu i odvojeni život</v>
      </c>
      <c r="G38" s="183" t="s">
        <v>178</v>
      </c>
      <c r="H38" s="144" t="str">
        <f t="shared" si="7"/>
        <v>REDOVNA DJELATNOST SVEUČILIŠTA U RIJECI (IZ EVIDENCIJSKIH PRIHODA)</v>
      </c>
      <c r="I38" s="182">
        <v>5000</v>
      </c>
      <c r="J38" s="182">
        <v>5000</v>
      </c>
      <c r="K38" s="182">
        <v>5000</v>
      </c>
      <c r="M38" s="139" t="str">
        <f t="shared" si="8"/>
        <v>321</v>
      </c>
      <c r="N38" s="139" t="str">
        <f t="shared" si="9"/>
        <v>32</v>
      </c>
      <c r="R38" s="139">
        <v>3296</v>
      </c>
      <c r="S38" s="139" t="s">
        <v>152</v>
      </c>
      <c r="U38" s="139" t="str">
        <f t="shared" si="5"/>
        <v>32</v>
      </c>
      <c r="V38" s="139" t="str">
        <f t="shared" si="6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31</v>
      </c>
      <c r="D39" s="144" t="str">
        <f t="shared" si="0"/>
        <v>Vlastiti prihodi</v>
      </c>
      <c r="E39" s="149">
        <v>3213</v>
      </c>
      <c r="F39" s="144" t="str">
        <f t="shared" si="1"/>
        <v>Stručno usavršavanje zaposlenika</v>
      </c>
      <c r="G39" s="183" t="s">
        <v>178</v>
      </c>
      <c r="H39" s="144" t="str">
        <f t="shared" si="7"/>
        <v>REDOVNA DJELATNOST SVEUČILIŠTA U RIJECI (IZ EVIDENCIJSKIH PRIHODA)</v>
      </c>
      <c r="I39" s="182">
        <v>60000</v>
      </c>
      <c r="J39" s="182">
        <v>70000</v>
      </c>
      <c r="K39" s="182">
        <v>50000</v>
      </c>
      <c r="M39" s="139" t="str">
        <f t="shared" si="8"/>
        <v>321</v>
      </c>
      <c r="N39" s="139" t="str">
        <f t="shared" si="9"/>
        <v>32</v>
      </c>
      <c r="R39" s="139">
        <v>3299</v>
      </c>
      <c r="S39" s="139" t="s">
        <v>61</v>
      </c>
      <c r="U39" s="139" t="str">
        <f t="shared" si="5"/>
        <v>32</v>
      </c>
      <c r="V39" s="139" t="str">
        <f t="shared" si="6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31</v>
      </c>
      <c r="D40" s="144" t="str">
        <f t="shared" si="0"/>
        <v>Vlastiti prihodi</v>
      </c>
      <c r="E40" s="149">
        <v>3221</v>
      </c>
      <c r="F40" s="144" t="str">
        <f t="shared" si="1"/>
        <v>Uredski materijal i ostali materijalni rashodi</v>
      </c>
      <c r="G40" s="183" t="s">
        <v>178</v>
      </c>
      <c r="H40" s="144" t="str">
        <f t="shared" si="7"/>
        <v>REDOVNA DJELATNOST SVEUČILIŠTA U RIJECI (IZ EVIDENCIJSKIH PRIHODA)</v>
      </c>
      <c r="I40" s="182">
        <v>50000</v>
      </c>
      <c r="J40" s="182">
        <v>52000</v>
      </c>
      <c r="K40" s="182">
        <v>40000</v>
      </c>
      <c r="M40" s="139" t="str">
        <f t="shared" si="8"/>
        <v>322</v>
      </c>
      <c r="N40" s="139" t="str">
        <f t="shared" si="9"/>
        <v>32</v>
      </c>
      <c r="R40" s="139">
        <v>3411</v>
      </c>
      <c r="S40" s="139" t="s">
        <v>190</v>
      </c>
      <c r="U40" s="139" t="str">
        <f t="shared" si="5"/>
        <v>34</v>
      </c>
      <c r="V40" s="139" t="str">
        <f t="shared" si="6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31</v>
      </c>
      <c r="D41" s="144" t="str">
        <f t="shared" si="0"/>
        <v>Vlastiti prihodi</v>
      </c>
      <c r="E41" s="149">
        <v>3223</v>
      </c>
      <c r="F41" s="144" t="str">
        <f t="shared" si="1"/>
        <v>Energija</v>
      </c>
      <c r="G41" s="183" t="s">
        <v>178</v>
      </c>
      <c r="H41" s="144" t="str">
        <f t="shared" si="7"/>
        <v>REDOVNA DJELATNOST SVEUČILIŠTA U RIJECI (IZ EVIDENCIJSKIH PRIHODA)</v>
      </c>
      <c r="I41" s="182">
        <v>500</v>
      </c>
      <c r="J41" s="182">
        <v>500</v>
      </c>
      <c r="K41" s="182">
        <v>500</v>
      </c>
      <c r="M41" s="139" t="str">
        <f t="shared" si="8"/>
        <v>322</v>
      </c>
      <c r="N41" s="139" t="str">
        <f t="shared" si="9"/>
        <v>32</v>
      </c>
      <c r="R41" s="139">
        <v>3422</v>
      </c>
      <c r="S41" s="139" t="s">
        <v>153</v>
      </c>
      <c r="U41" s="139" t="str">
        <f t="shared" si="5"/>
        <v>34</v>
      </c>
      <c r="V41" s="139" t="str">
        <f t="shared" si="6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31</v>
      </c>
      <c r="D42" s="144" t="str">
        <f t="shared" si="0"/>
        <v>Vlastiti prihodi</v>
      </c>
      <c r="E42" s="149">
        <v>3224</v>
      </c>
      <c r="F42" s="144" t="str">
        <f t="shared" si="1"/>
        <v>Materijal i dijelovi za tekuće i investicijsko održavanje</v>
      </c>
      <c r="G42" s="183" t="s">
        <v>178</v>
      </c>
      <c r="H42" s="144" t="str">
        <f t="shared" si="7"/>
        <v>REDOVNA DJELATNOST SVEUČILIŠTA U RIJECI (IZ EVIDENCIJSKIH PRIHODA)</v>
      </c>
      <c r="I42" s="182">
        <v>2000</v>
      </c>
      <c r="J42" s="182">
        <v>3000</v>
      </c>
      <c r="K42" s="182">
        <v>3500</v>
      </c>
      <c r="M42" s="139" t="str">
        <f t="shared" si="8"/>
        <v>322</v>
      </c>
      <c r="N42" s="139" t="str">
        <f t="shared" si="9"/>
        <v>32</v>
      </c>
      <c r="R42" s="139">
        <v>3423</v>
      </c>
      <c r="S42" s="139" t="s">
        <v>153</v>
      </c>
      <c r="U42" s="139" t="str">
        <f t="shared" ref="U42:U73" si="10">LEFT(R42,2)</f>
        <v>34</v>
      </c>
      <c r="V42" s="139" t="str">
        <f t="shared" ref="V42:V73" si="11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31</v>
      </c>
      <c r="D43" s="144" t="str">
        <f t="shared" si="0"/>
        <v>Vlastiti prihodi</v>
      </c>
      <c r="E43" s="149">
        <v>3225</v>
      </c>
      <c r="F43" s="144" t="str">
        <f t="shared" si="1"/>
        <v>Sitni inventar i auto gume</v>
      </c>
      <c r="G43" s="183" t="s">
        <v>178</v>
      </c>
      <c r="H43" s="144" t="str">
        <f t="shared" si="7"/>
        <v>REDOVNA DJELATNOST SVEUČILIŠTA U RIJECI (IZ EVIDENCIJSKIH PRIHODA)</v>
      </c>
      <c r="I43" s="182">
        <v>20000</v>
      </c>
      <c r="J43" s="182">
        <v>21000</v>
      </c>
      <c r="K43" s="182">
        <v>21000</v>
      </c>
      <c r="M43" s="139" t="str">
        <f t="shared" si="8"/>
        <v>322</v>
      </c>
      <c r="N43" s="139" t="str">
        <f t="shared" si="9"/>
        <v>32</v>
      </c>
      <c r="R43" s="139">
        <v>3427</v>
      </c>
      <c r="S43" s="139" t="s">
        <v>192</v>
      </c>
      <c r="U43" s="139" t="str">
        <f t="shared" si="10"/>
        <v>34</v>
      </c>
      <c r="V43" s="139" t="str">
        <f t="shared" si="11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31</v>
      </c>
      <c r="D44" s="144" t="str">
        <f t="shared" si="0"/>
        <v>Vlastiti prihodi</v>
      </c>
      <c r="E44" s="149">
        <v>3231</v>
      </c>
      <c r="F44" s="144" t="str">
        <f t="shared" si="1"/>
        <v>Usluge telefona, pošte i prijevoza</v>
      </c>
      <c r="G44" s="183" t="s">
        <v>178</v>
      </c>
      <c r="H44" s="144" t="str">
        <f t="shared" si="7"/>
        <v>REDOVNA DJELATNOST SVEUČILIŠTA U RIJECI (IZ EVIDENCIJSKIH PRIHODA)</v>
      </c>
      <c r="I44" s="182">
        <v>8000</v>
      </c>
      <c r="J44" s="182">
        <v>9000</v>
      </c>
      <c r="K44" s="182">
        <v>8000</v>
      </c>
      <c r="M44" s="139" t="str">
        <f t="shared" si="8"/>
        <v>323</v>
      </c>
      <c r="N44" s="139" t="str">
        <f t="shared" si="9"/>
        <v>32</v>
      </c>
      <c r="R44" s="139">
        <v>3431</v>
      </c>
      <c r="S44" s="139" t="s">
        <v>86</v>
      </c>
      <c r="U44" s="139" t="str">
        <f t="shared" si="10"/>
        <v>34</v>
      </c>
      <c r="V44" s="139" t="str">
        <f t="shared" si="11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31</v>
      </c>
      <c r="D45" s="144" t="str">
        <f t="shared" si="0"/>
        <v>Vlastiti prihodi</v>
      </c>
      <c r="E45" s="149">
        <v>3232</v>
      </c>
      <c r="F45" s="144" t="str">
        <f t="shared" si="1"/>
        <v>Usluge tekućeg i investicijskog održavanja</v>
      </c>
      <c r="G45" s="183" t="s">
        <v>178</v>
      </c>
      <c r="H45" s="144" t="str">
        <f t="shared" si="7"/>
        <v>REDOVNA DJELATNOST SVEUČILIŠTA U RIJECI (IZ EVIDENCIJSKIH PRIHODA)</v>
      </c>
      <c r="I45" s="182">
        <v>500</v>
      </c>
      <c r="J45" s="182">
        <v>800</v>
      </c>
      <c r="K45" s="182">
        <v>1000</v>
      </c>
      <c r="M45" s="139" t="str">
        <f t="shared" si="8"/>
        <v>323</v>
      </c>
      <c r="N45" s="139" t="str">
        <f t="shared" si="9"/>
        <v>32</v>
      </c>
      <c r="R45" s="139">
        <v>3432</v>
      </c>
      <c r="S45" s="139" t="s">
        <v>102</v>
      </c>
      <c r="U45" s="139" t="str">
        <f t="shared" si="10"/>
        <v>34</v>
      </c>
      <c r="V45" s="139" t="str">
        <f t="shared" si="11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31</v>
      </c>
      <c r="D46" s="144" t="str">
        <f t="shared" si="0"/>
        <v>Vlastiti prihodi</v>
      </c>
      <c r="E46" s="149">
        <v>3233</v>
      </c>
      <c r="F46" s="144" t="str">
        <f t="shared" si="1"/>
        <v>Usluge promidžbe i informiranja</v>
      </c>
      <c r="G46" s="183" t="s">
        <v>178</v>
      </c>
      <c r="H46" s="144" t="str">
        <f t="shared" si="7"/>
        <v>REDOVNA DJELATNOST SVEUČILIŠTA U RIJECI (IZ EVIDENCIJSKIH PRIHODA)</v>
      </c>
      <c r="I46" s="182">
        <v>88000</v>
      </c>
      <c r="J46" s="182">
        <v>95000</v>
      </c>
      <c r="K46" s="182">
        <v>85000</v>
      </c>
      <c r="M46" s="139" t="str">
        <f t="shared" si="8"/>
        <v>323</v>
      </c>
      <c r="N46" s="139" t="str">
        <f t="shared" si="9"/>
        <v>32</v>
      </c>
      <c r="R46" s="139">
        <v>3433</v>
      </c>
      <c r="S46" s="139" t="s">
        <v>140</v>
      </c>
      <c r="U46" s="139" t="str">
        <f t="shared" si="10"/>
        <v>34</v>
      </c>
      <c r="V46" s="139" t="str">
        <f t="shared" si="11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31</v>
      </c>
      <c r="D47" s="144" t="str">
        <f t="shared" si="0"/>
        <v>Vlastiti prihodi</v>
      </c>
      <c r="E47" s="149">
        <v>3234</v>
      </c>
      <c r="F47" s="144" t="str">
        <f t="shared" si="1"/>
        <v>Komunalne usluge</v>
      </c>
      <c r="G47" s="183" t="s">
        <v>178</v>
      </c>
      <c r="H47" s="144" t="str">
        <f t="shared" si="7"/>
        <v>REDOVNA DJELATNOST SVEUČILIŠTA U RIJECI (IZ EVIDENCIJSKIH PRIHODA)</v>
      </c>
      <c r="I47" s="182">
        <v>6500</v>
      </c>
      <c r="J47" s="182">
        <v>6800</v>
      </c>
      <c r="K47" s="182">
        <v>7100</v>
      </c>
      <c r="M47" s="139" t="str">
        <f t="shared" si="8"/>
        <v>323</v>
      </c>
      <c r="N47" s="139" t="str">
        <f t="shared" si="9"/>
        <v>32</v>
      </c>
      <c r="R47" s="139">
        <v>3434</v>
      </c>
      <c r="S47" s="139" t="s">
        <v>71</v>
      </c>
      <c r="U47" s="139" t="str">
        <f t="shared" si="10"/>
        <v>34</v>
      </c>
      <c r="V47" s="139" t="str">
        <f t="shared" si="11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31</v>
      </c>
      <c r="D48" s="144" t="str">
        <f t="shared" si="0"/>
        <v>Vlastiti prihodi</v>
      </c>
      <c r="E48" s="149">
        <v>3235</v>
      </c>
      <c r="F48" s="144" t="str">
        <f t="shared" si="1"/>
        <v>Zakupnine i najamnine</v>
      </c>
      <c r="G48" s="183" t="s">
        <v>178</v>
      </c>
      <c r="H48" s="144" t="str">
        <f t="shared" si="7"/>
        <v>REDOVNA DJELATNOST SVEUČILIŠTA U RIJECI (IZ EVIDENCIJSKIH PRIHODA)</v>
      </c>
      <c r="I48" s="182">
        <v>15000</v>
      </c>
      <c r="J48" s="182">
        <v>20000</v>
      </c>
      <c r="K48" s="182">
        <v>2000</v>
      </c>
      <c r="M48" s="139" t="str">
        <f t="shared" si="8"/>
        <v>323</v>
      </c>
      <c r="N48" s="139" t="str">
        <f t="shared" si="9"/>
        <v>32</v>
      </c>
      <c r="R48" s="139">
        <v>3511</v>
      </c>
      <c r="S48" s="139" t="s">
        <v>183</v>
      </c>
      <c r="U48" s="139" t="str">
        <f t="shared" si="10"/>
        <v>35</v>
      </c>
      <c r="V48" s="139" t="str">
        <f t="shared" si="11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31</v>
      </c>
      <c r="D49" s="144" t="str">
        <f t="shared" si="0"/>
        <v>Vlastiti prihodi</v>
      </c>
      <c r="E49" s="149">
        <v>3237</v>
      </c>
      <c r="F49" s="144" t="str">
        <f t="shared" si="1"/>
        <v>Intelektualne i osobne usluge</v>
      </c>
      <c r="G49" s="183" t="s">
        <v>178</v>
      </c>
      <c r="H49" s="144" t="str">
        <f t="shared" si="7"/>
        <v>REDOVNA DJELATNOST SVEUČILIŠTA U RIJECI (IZ EVIDENCIJSKIH PRIHODA)</v>
      </c>
      <c r="I49" s="182">
        <v>120000</v>
      </c>
      <c r="J49" s="182">
        <v>110000</v>
      </c>
      <c r="K49" s="182">
        <v>95000</v>
      </c>
      <c r="M49" s="139" t="str">
        <f t="shared" si="8"/>
        <v>323</v>
      </c>
      <c r="N49" s="139" t="str">
        <f t="shared" si="9"/>
        <v>32</v>
      </c>
      <c r="R49" s="139">
        <v>3512</v>
      </c>
      <c r="S49" s="139" t="s">
        <v>185</v>
      </c>
      <c r="U49" s="139" t="str">
        <f t="shared" si="10"/>
        <v>35</v>
      </c>
      <c r="V49" s="139" t="str">
        <f t="shared" si="11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31</v>
      </c>
      <c r="D50" s="144" t="str">
        <f t="shared" si="0"/>
        <v>Vlastiti prihodi</v>
      </c>
      <c r="E50" s="149">
        <v>3238</v>
      </c>
      <c r="F50" s="144" t="str">
        <f t="shared" si="1"/>
        <v>Računalne usluge</v>
      </c>
      <c r="G50" s="183" t="s">
        <v>178</v>
      </c>
      <c r="H50" s="144" t="str">
        <f t="shared" si="7"/>
        <v>REDOVNA DJELATNOST SVEUČILIŠTA U RIJECI (IZ EVIDENCIJSKIH PRIHODA)</v>
      </c>
      <c r="I50" s="182">
        <v>5000</v>
      </c>
      <c r="J50" s="182">
        <v>5000</v>
      </c>
      <c r="K50" s="182">
        <v>5000</v>
      </c>
      <c r="M50" s="139" t="str">
        <f t="shared" si="8"/>
        <v>323</v>
      </c>
      <c r="N50" s="139" t="str">
        <f t="shared" si="9"/>
        <v>32</v>
      </c>
      <c r="R50" s="139">
        <v>3522</v>
      </c>
      <c r="S50" s="139" t="s">
        <v>259</v>
      </c>
      <c r="U50" s="139" t="str">
        <f t="shared" si="10"/>
        <v>35</v>
      </c>
      <c r="V50" s="139" t="str">
        <f t="shared" si="11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31</v>
      </c>
      <c r="D51" s="144" t="str">
        <f t="shared" si="0"/>
        <v>Vlastiti prihodi</v>
      </c>
      <c r="E51" s="149">
        <v>3239</v>
      </c>
      <c r="F51" s="144" t="str">
        <f t="shared" si="1"/>
        <v>Ostale usluge</v>
      </c>
      <c r="G51" s="183" t="s">
        <v>178</v>
      </c>
      <c r="H51" s="144" t="str">
        <f t="shared" si="7"/>
        <v>REDOVNA DJELATNOST SVEUČILIŠTA U RIJECI (IZ EVIDENCIJSKIH PRIHODA)</v>
      </c>
      <c r="I51" s="182">
        <v>53000</v>
      </c>
      <c r="J51" s="182">
        <v>52000</v>
      </c>
      <c r="K51" s="182">
        <v>48000</v>
      </c>
      <c r="M51" s="139" t="str">
        <f t="shared" si="8"/>
        <v>323</v>
      </c>
      <c r="N51" s="139" t="str">
        <f t="shared" si="9"/>
        <v>32</v>
      </c>
      <c r="R51" s="139">
        <v>3531</v>
      </c>
      <c r="S51" s="139" t="s">
        <v>137</v>
      </c>
      <c r="U51" s="139" t="str">
        <f t="shared" si="10"/>
        <v>35</v>
      </c>
      <c r="V51" s="139" t="str">
        <f t="shared" si="11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31</v>
      </c>
      <c r="D52" s="144" t="str">
        <f t="shared" si="0"/>
        <v>Vlastiti prihodi</v>
      </c>
      <c r="E52" s="149">
        <v>3241</v>
      </c>
      <c r="F52" s="144" t="str">
        <f t="shared" si="1"/>
        <v>Naknade troškova osobama izvan radnog odnosa</v>
      </c>
      <c r="G52" s="183" t="s">
        <v>178</v>
      </c>
      <c r="H52" s="144" t="str">
        <f t="shared" si="7"/>
        <v>REDOVNA DJELATNOST SVEUČILIŠTA U RIJECI (IZ EVIDENCIJSKIH PRIHODA)</v>
      </c>
      <c r="I52" s="182">
        <v>20000</v>
      </c>
      <c r="J52" s="182">
        <v>21000</v>
      </c>
      <c r="K52" s="182">
        <v>25000</v>
      </c>
      <c r="M52" s="139" t="str">
        <f t="shared" si="8"/>
        <v>324</v>
      </c>
      <c r="N52" s="139" t="str">
        <f t="shared" si="9"/>
        <v>32</v>
      </c>
      <c r="R52" s="139">
        <v>3611</v>
      </c>
      <c r="S52" s="139" t="s">
        <v>91</v>
      </c>
      <c r="U52" s="139" t="str">
        <f t="shared" si="10"/>
        <v>36</v>
      </c>
      <c r="V52" s="139" t="str">
        <f t="shared" si="11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31</v>
      </c>
      <c r="D53" s="144" t="str">
        <f t="shared" si="0"/>
        <v>Vlastiti prihodi</v>
      </c>
      <c r="E53" s="149">
        <v>3292</v>
      </c>
      <c r="F53" s="144" t="str">
        <f t="shared" si="1"/>
        <v>Premije osiguranja</v>
      </c>
      <c r="G53" s="183" t="s">
        <v>178</v>
      </c>
      <c r="H53" s="144" t="str">
        <f t="shared" si="7"/>
        <v>REDOVNA DJELATNOST SVEUČILIŠTA U RIJECI (IZ EVIDENCIJSKIH PRIHODA)</v>
      </c>
      <c r="I53" s="182">
        <v>20000</v>
      </c>
      <c r="J53" s="182">
        <v>20000</v>
      </c>
      <c r="K53" s="182">
        <v>20000</v>
      </c>
      <c r="M53" s="139" t="str">
        <f t="shared" si="8"/>
        <v>329</v>
      </c>
      <c r="N53" s="139" t="str">
        <f t="shared" si="9"/>
        <v>32</v>
      </c>
      <c r="R53" s="139">
        <v>3621</v>
      </c>
      <c r="S53" s="139" t="s">
        <v>141</v>
      </c>
      <c r="U53" s="139" t="str">
        <f t="shared" si="10"/>
        <v>36</v>
      </c>
      <c r="V53" s="139" t="str">
        <f t="shared" si="11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31</v>
      </c>
      <c r="D54" s="144" t="str">
        <f t="shared" si="0"/>
        <v>Vlastiti prihodi</v>
      </c>
      <c r="E54" s="149">
        <v>3293</v>
      </c>
      <c r="F54" s="144" t="str">
        <f t="shared" si="1"/>
        <v>Reprezentacija</v>
      </c>
      <c r="G54" s="183" t="s">
        <v>178</v>
      </c>
      <c r="H54" s="144" t="str">
        <f t="shared" si="7"/>
        <v>REDOVNA DJELATNOST SVEUČILIŠTA U RIJECI (IZ EVIDENCIJSKIH PRIHODA)</v>
      </c>
      <c r="I54" s="182">
        <v>50000</v>
      </c>
      <c r="J54" s="182">
        <v>50000</v>
      </c>
      <c r="K54" s="182">
        <v>39000</v>
      </c>
      <c r="M54" s="139" t="str">
        <f t="shared" si="8"/>
        <v>329</v>
      </c>
      <c r="N54" s="139" t="str">
        <f t="shared" si="9"/>
        <v>32</v>
      </c>
      <c r="R54" s="139">
        <v>3631</v>
      </c>
      <c r="S54" s="139" t="s">
        <v>182</v>
      </c>
      <c r="U54" s="139" t="str">
        <f t="shared" si="10"/>
        <v>36</v>
      </c>
      <c r="V54" s="139" t="str">
        <f t="shared" si="11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31</v>
      </c>
      <c r="D55" s="144" t="str">
        <f t="shared" si="0"/>
        <v>Vlastiti prihodi</v>
      </c>
      <c r="E55" s="149">
        <v>3294</v>
      </c>
      <c r="F55" s="144" t="str">
        <f t="shared" si="1"/>
        <v>Članarine i norme</v>
      </c>
      <c r="G55" s="183" t="s">
        <v>178</v>
      </c>
      <c r="H55" s="144" t="str">
        <f t="shared" si="7"/>
        <v>REDOVNA DJELATNOST SVEUČILIŠTA U RIJECI (IZ EVIDENCIJSKIH PRIHODA)</v>
      </c>
      <c r="I55" s="182">
        <v>10000</v>
      </c>
      <c r="J55" s="182">
        <v>12000</v>
      </c>
      <c r="K55" s="182">
        <v>13000</v>
      </c>
      <c r="M55" s="139" t="str">
        <f t="shared" si="8"/>
        <v>329</v>
      </c>
      <c r="N55" s="139" t="str">
        <f t="shared" si="9"/>
        <v>32</v>
      </c>
      <c r="R55" s="139">
        <v>3632</v>
      </c>
      <c r="S55" s="139" t="s">
        <v>260</v>
      </c>
      <c r="U55" s="139" t="str">
        <f t="shared" si="10"/>
        <v>36</v>
      </c>
      <c r="V55" s="139" t="str">
        <f t="shared" si="11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31</v>
      </c>
      <c r="D56" s="144" t="str">
        <f t="shared" si="0"/>
        <v>Vlastiti prihodi</v>
      </c>
      <c r="E56" s="149">
        <v>3295</v>
      </c>
      <c r="F56" s="144" t="str">
        <f t="shared" si="1"/>
        <v>Pristojbe i naknade</v>
      </c>
      <c r="G56" s="183" t="s">
        <v>178</v>
      </c>
      <c r="H56" s="144" t="str">
        <f t="shared" si="7"/>
        <v>REDOVNA DJELATNOST SVEUČILIŠTA U RIJECI (IZ EVIDENCIJSKIH PRIHODA)</v>
      </c>
      <c r="I56" s="182">
        <v>2500</v>
      </c>
      <c r="J56" s="182">
        <v>2000</v>
      </c>
      <c r="K56" s="182">
        <v>3000</v>
      </c>
      <c r="M56" s="139" t="str">
        <f t="shared" si="8"/>
        <v>329</v>
      </c>
      <c r="N56" s="139" t="str">
        <f t="shared" si="9"/>
        <v>32</v>
      </c>
      <c r="R56" s="139">
        <v>3661</v>
      </c>
      <c r="S56" s="139" t="s">
        <v>103</v>
      </c>
      <c r="U56" s="139" t="str">
        <f t="shared" si="10"/>
        <v>36</v>
      </c>
      <c r="V56" s="139" t="str">
        <f t="shared" si="11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31</v>
      </c>
      <c r="D57" s="144" t="str">
        <f t="shared" si="0"/>
        <v>Vlastiti prihodi</v>
      </c>
      <c r="E57" s="149">
        <v>3299</v>
      </c>
      <c r="F57" s="144" t="str">
        <f t="shared" si="1"/>
        <v>Ostali nespomenuti rashodi poslovanja</v>
      </c>
      <c r="G57" s="183" t="s">
        <v>178</v>
      </c>
      <c r="H57" s="144" t="str">
        <f t="shared" si="7"/>
        <v>REDOVNA DJELATNOST SVEUČILIŠTA U RIJECI (IZ EVIDENCIJSKIH PRIHODA)</v>
      </c>
      <c r="I57" s="182">
        <v>5000</v>
      </c>
      <c r="J57" s="182">
        <v>5500</v>
      </c>
      <c r="K57" s="182">
        <v>6000</v>
      </c>
      <c r="M57" s="139" t="str">
        <f t="shared" si="8"/>
        <v>329</v>
      </c>
      <c r="N57" s="139" t="str">
        <f t="shared" si="9"/>
        <v>32</v>
      </c>
      <c r="R57" s="139">
        <v>3662</v>
      </c>
      <c r="S57" s="139" t="s">
        <v>186</v>
      </c>
      <c r="U57" s="139" t="str">
        <f t="shared" si="10"/>
        <v>36</v>
      </c>
      <c r="V57" s="139" t="str">
        <f t="shared" si="11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31</v>
      </c>
      <c r="D58" s="144" t="str">
        <f t="shared" si="0"/>
        <v>Vlastiti prihodi</v>
      </c>
      <c r="E58" s="149">
        <v>3431</v>
      </c>
      <c r="F58" s="144" t="str">
        <f t="shared" si="1"/>
        <v>Bankarske usluge i usluge platnog prometa</v>
      </c>
      <c r="G58" s="183" t="s">
        <v>178</v>
      </c>
      <c r="H58" s="144" t="str">
        <f t="shared" si="7"/>
        <v>REDOVNA DJELATNOST SVEUČILIŠTA U RIJECI (IZ EVIDENCIJSKIH PRIHODA)</v>
      </c>
      <c r="I58" s="182">
        <v>1500</v>
      </c>
      <c r="J58" s="182">
        <v>1000</v>
      </c>
      <c r="K58" s="182">
        <v>800</v>
      </c>
      <c r="M58" s="139" t="str">
        <f t="shared" si="8"/>
        <v>343</v>
      </c>
      <c r="N58" s="139" t="str">
        <f t="shared" si="9"/>
        <v>34</v>
      </c>
      <c r="R58" s="139">
        <v>3681</v>
      </c>
      <c r="S58" s="139" t="s">
        <v>29</v>
      </c>
      <c r="U58" s="139" t="str">
        <f t="shared" si="10"/>
        <v>36</v>
      </c>
      <c r="V58" s="139" t="str">
        <f t="shared" si="11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31</v>
      </c>
      <c r="D59" s="144" t="str">
        <f t="shared" si="0"/>
        <v>Vlastiti prihodi</v>
      </c>
      <c r="E59" s="149">
        <v>3432</v>
      </c>
      <c r="F59" s="144" t="str">
        <f t="shared" si="1"/>
        <v>Negativne tečajne razlike i razlike zbog primjene valutne kl</v>
      </c>
      <c r="G59" s="183" t="s">
        <v>178</v>
      </c>
      <c r="H59" s="144" t="str">
        <f t="shared" si="7"/>
        <v>REDOVNA DJELATNOST SVEUČILIŠTA U RIJECI (IZ EVIDENCIJSKIH PRIHODA)</v>
      </c>
      <c r="I59" s="182">
        <v>500</v>
      </c>
      <c r="J59" s="182">
        <v>500</v>
      </c>
      <c r="K59" s="182">
        <v>500</v>
      </c>
      <c r="M59" s="139" t="str">
        <f t="shared" si="8"/>
        <v>343</v>
      </c>
      <c r="N59" s="139" t="str">
        <f t="shared" si="9"/>
        <v>34</v>
      </c>
      <c r="R59" s="139">
        <v>3682</v>
      </c>
      <c r="S59" s="139" t="s">
        <v>30</v>
      </c>
      <c r="U59" s="139" t="str">
        <f t="shared" si="10"/>
        <v>36</v>
      </c>
      <c r="V59" s="139" t="str">
        <f t="shared" si="11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31</v>
      </c>
      <c r="D60" s="144" t="str">
        <f t="shared" si="0"/>
        <v>Vlastiti prihodi</v>
      </c>
      <c r="E60" s="149">
        <v>4123</v>
      </c>
      <c r="F60" s="144" t="str">
        <f t="shared" si="1"/>
        <v>Licence</v>
      </c>
      <c r="G60" s="183" t="s">
        <v>178</v>
      </c>
      <c r="H60" s="144" t="str">
        <f t="shared" si="7"/>
        <v>REDOVNA DJELATNOST SVEUČILIŠTA U RIJECI (IZ EVIDENCIJSKIH PRIHODA)</v>
      </c>
      <c r="I60" s="182">
        <v>2500</v>
      </c>
      <c r="J60" s="182">
        <v>2800</v>
      </c>
      <c r="K60" s="182">
        <v>2900</v>
      </c>
      <c r="M60" s="139" t="str">
        <f t="shared" si="8"/>
        <v>412</v>
      </c>
      <c r="N60" s="139" t="str">
        <f t="shared" si="9"/>
        <v>41</v>
      </c>
      <c r="R60" s="139">
        <v>3691</v>
      </c>
      <c r="S60" s="139" t="s">
        <v>108</v>
      </c>
      <c r="U60" s="139" t="str">
        <f t="shared" si="10"/>
        <v>36</v>
      </c>
      <c r="V60" s="139" t="str">
        <f t="shared" si="11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31</v>
      </c>
      <c r="D61" s="144" t="str">
        <f t="shared" si="0"/>
        <v>Vlastiti prihodi</v>
      </c>
      <c r="E61" s="149">
        <v>4221</v>
      </c>
      <c r="F61" s="144" t="str">
        <f t="shared" si="1"/>
        <v>Uredska oprema i namještaj</v>
      </c>
      <c r="G61" s="183" t="s">
        <v>178</v>
      </c>
      <c r="H61" s="144" t="str">
        <f t="shared" si="7"/>
        <v>REDOVNA DJELATNOST SVEUČILIŠTA U RIJECI (IZ EVIDENCIJSKIH PRIHODA)</v>
      </c>
      <c r="I61" s="182">
        <v>21000</v>
      </c>
      <c r="J61" s="182">
        <v>15000</v>
      </c>
      <c r="K61" s="182">
        <v>17000</v>
      </c>
      <c r="M61" s="139" t="str">
        <f t="shared" si="8"/>
        <v>422</v>
      </c>
      <c r="N61" s="139" t="str">
        <f t="shared" si="9"/>
        <v>42</v>
      </c>
      <c r="R61" s="139">
        <v>3692</v>
      </c>
      <c r="S61" s="139" t="s">
        <v>180</v>
      </c>
      <c r="U61" s="139" t="str">
        <f t="shared" si="10"/>
        <v>36</v>
      </c>
      <c r="V61" s="139" t="str">
        <f t="shared" si="11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31</v>
      </c>
      <c r="D62" s="144" t="str">
        <f t="shared" si="0"/>
        <v>Vlastiti prihodi</v>
      </c>
      <c r="E62" s="149">
        <v>4222</v>
      </c>
      <c r="F62" s="144" t="str">
        <f t="shared" si="1"/>
        <v>Komunikacijska oprema</v>
      </c>
      <c r="G62" s="183" t="s">
        <v>178</v>
      </c>
      <c r="H62" s="144" t="str">
        <f t="shared" si="7"/>
        <v>REDOVNA DJELATNOST SVEUČILIŠTA U RIJECI (IZ EVIDENCIJSKIH PRIHODA)</v>
      </c>
      <c r="I62" s="182">
        <v>11000</v>
      </c>
      <c r="J62" s="182">
        <v>15000</v>
      </c>
      <c r="K62" s="182">
        <v>11000</v>
      </c>
      <c r="M62" s="139" t="str">
        <f t="shared" si="8"/>
        <v>422</v>
      </c>
      <c r="N62" s="139" t="str">
        <f t="shared" si="9"/>
        <v>42</v>
      </c>
      <c r="R62" s="139">
        <v>3693</v>
      </c>
      <c r="S62" s="139" t="s">
        <v>108</v>
      </c>
      <c r="U62" s="139" t="str">
        <f t="shared" si="10"/>
        <v>36</v>
      </c>
      <c r="V62" s="139" t="str">
        <f t="shared" si="11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31</v>
      </c>
      <c r="D63" s="144" t="str">
        <f t="shared" si="0"/>
        <v>Vlastiti prihodi</v>
      </c>
      <c r="E63" s="149">
        <v>4225</v>
      </c>
      <c r="F63" s="144" t="str">
        <f t="shared" si="1"/>
        <v>Instrumenti, uređaji i strojevi</v>
      </c>
      <c r="G63" s="183" t="s">
        <v>178</v>
      </c>
      <c r="H63" s="144" t="str">
        <f t="shared" si="7"/>
        <v>REDOVNA DJELATNOST SVEUČILIŠTA U RIJECI (IZ EVIDENCIJSKIH PRIHODA)</v>
      </c>
      <c r="I63" s="182">
        <v>4000</v>
      </c>
      <c r="J63" s="182">
        <v>5000</v>
      </c>
      <c r="K63" s="182">
        <v>2000</v>
      </c>
      <c r="M63" s="139" t="str">
        <f t="shared" si="8"/>
        <v>422</v>
      </c>
      <c r="N63" s="139" t="str">
        <f t="shared" si="9"/>
        <v>42</v>
      </c>
      <c r="R63" s="139">
        <v>3694</v>
      </c>
      <c r="S63" s="139" t="s">
        <v>180</v>
      </c>
      <c r="U63" s="139" t="str">
        <f t="shared" si="10"/>
        <v>36</v>
      </c>
      <c r="V63" s="139" t="str">
        <f t="shared" si="11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31</v>
      </c>
      <c r="D64" s="144" t="str">
        <f t="shared" si="0"/>
        <v>Vlastiti prihodi</v>
      </c>
      <c r="E64" s="149">
        <v>4241</v>
      </c>
      <c r="F64" s="144" t="str">
        <f t="shared" si="1"/>
        <v>Knjige</v>
      </c>
      <c r="G64" s="183" t="s">
        <v>178</v>
      </c>
      <c r="H64" s="144" t="str">
        <f t="shared" si="7"/>
        <v>REDOVNA DJELATNOST SVEUČILIŠTA U RIJECI (IZ EVIDENCIJSKIH PRIHODA)</v>
      </c>
      <c r="I64" s="182">
        <v>2000</v>
      </c>
      <c r="J64" s="182">
        <v>1500</v>
      </c>
      <c r="K64" s="182">
        <v>1200</v>
      </c>
      <c r="M64" s="139" t="str">
        <f t="shared" si="8"/>
        <v>424</v>
      </c>
      <c r="N64" s="139" t="str">
        <f t="shared" si="9"/>
        <v>42</v>
      </c>
      <c r="R64" s="139">
        <v>3711</v>
      </c>
      <c r="S64" s="139" t="s">
        <v>127</v>
      </c>
      <c r="U64" s="139" t="str">
        <f t="shared" si="10"/>
        <v>37</v>
      </c>
      <c r="V64" s="139" t="str">
        <f t="shared" si="11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31</v>
      </c>
      <c r="D65" s="144" t="str">
        <f t="shared" si="0"/>
        <v>Vlastiti prihodi</v>
      </c>
      <c r="E65" s="149">
        <v>3214</v>
      </c>
      <c r="F65" s="144" t="str">
        <f t="shared" si="1"/>
        <v>Ostale naknade troškova zaposlenima</v>
      </c>
      <c r="G65" s="183" t="s">
        <v>178</v>
      </c>
      <c r="H65" s="144" t="str">
        <f t="shared" si="7"/>
        <v>REDOVNA DJELATNOST SVEUČILIŠTA U RIJECI (IZ EVIDENCIJSKIH PRIHODA)</v>
      </c>
      <c r="I65" s="182">
        <v>500</v>
      </c>
      <c r="J65" s="182">
        <v>600</v>
      </c>
      <c r="K65" s="182">
        <v>800</v>
      </c>
      <c r="M65" s="139" t="str">
        <f t="shared" si="8"/>
        <v>321</v>
      </c>
      <c r="N65" s="139" t="str">
        <f t="shared" si="9"/>
        <v>32</v>
      </c>
      <c r="R65" s="139">
        <v>3712</v>
      </c>
      <c r="S65" s="139" t="s">
        <v>145</v>
      </c>
      <c r="U65" s="139" t="str">
        <f t="shared" si="10"/>
        <v>37</v>
      </c>
      <c r="V65" s="139" t="str">
        <f t="shared" si="11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31</v>
      </c>
      <c r="D66" s="144" t="str">
        <f t="shared" si="0"/>
        <v>Vlastiti prihodi</v>
      </c>
      <c r="E66" s="149">
        <v>3111</v>
      </c>
      <c r="F66" s="144" t="str">
        <f t="shared" si="1"/>
        <v>Plaće za redovan rad</v>
      </c>
      <c r="G66" s="183" t="s">
        <v>178</v>
      </c>
      <c r="H66" s="144" t="str">
        <f t="shared" si="7"/>
        <v>REDOVNA DJELATNOST SVEUČILIŠTA U RIJECI (IZ EVIDENCIJSKIH PRIHODA)</v>
      </c>
      <c r="I66" s="182">
        <v>2000000</v>
      </c>
      <c r="J66" s="182">
        <v>2000000</v>
      </c>
      <c r="K66" s="182">
        <v>1800000</v>
      </c>
      <c r="M66" s="139" t="str">
        <f t="shared" si="8"/>
        <v>311</v>
      </c>
      <c r="N66" s="139" t="str">
        <f t="shared" si="9"/>
        <v>31</v>
      </c>
      <c r="R66" s="139">
        <v>3713</v>
      </c>
      <c r="S66" s="139" t="s">
        <v>172</v>
      </c>
      <c r="U66" s="139" t="str">
        <f t="shared" si="10"/>
        <v>37</v>
      </c>
      <c r="V66" s="139" t="str">
        <f t="shared" si="11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43</v>
      </c>
      <c r="D67" s="144" t="str">
        <f t="shared" ref="D67:D130" si="12">IFERROR(VLOOKUP(C67,$O$6:$P$23,2,FALSE),"")</f>
        <v>Ostali prihodi za posebne namjene</v>
      </c>
      <c r="E67" s="149">
        <v>3111</v>
      </c>
      <c r="F67" s="144" t="str">
        <f t="shared" ref="F67:F130" si="13">IFERROR(VLOOKUP(E67,$R$5:$T$129,2,FALSE),"")</f>
        <v>Plaće za redovan rad</v>
      </c>
      <c r="G67" s="183" t="s">
        <v>178</v>
      </c>
      <c r="H67" s="144" t="str">
        <f t="shared" ref="H67" si="14">IFERROR(VLOOKUP(G67,$X$6:$Y$297,2,FALSE),"")</f>
        <v>REDOVNA DJELATNOST SVEUČILIŠTA U RIJECI (IZ EVIDENCIJSKIH PRIHODA)</v>
      </c>
      <c r="I67" s="182">
        <v>2187957</v>
      </c>
      <c r="J67" s="182">
        <v>2650000</v>
      </c>
      <c r="K67" s="182">
        <v>2680000</v>
      </c>
      <c r="M67" s="139" t="str">
        <f t="shared" si="8"/>
        <v>311</v>
      </c>
      <c r="N67" s="139" t="str">
        <f t="shared" si="9"/>
        <v>31</v>
      </c>
      <c r="R67" s="139">
        <v>3714</v>
      </c>
      <c r="S67" s="139" t="s">
        <v>193</v>
      </c>
      <c r="U67" s="139" t="str">
        <f t="shared" si="10"/>
        <v>37</v>
      </c>
      <c r="V67" s="139" t="str">
        <f t="shared" si="11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43</v>
      </c>
      <c r="D68" s="144" t="str">
        <f t="shared" si="12"/>
        <v>Ostali prihodi za posebne namjene</v>
      </c>
      <c r="E68" s="149">
        <v>3132</v>
      </c>
      <c r="F68" s="144" t="str">
        <f t="shared" si="13"/>
        <v>Doprinosi za obvezno zdravstveno osiguranje</v>
      </c>
      <c r="G68" s="183" t="s">
        <v>178</v>
      </c>
      <c r="H68" s="144" t="str">
        <f t="shared" ref="H68:H131" si="15">IFERROR(VLOOKUP(G68,$X$6:$Y$297,2,FALSE),"")</f>
        <v>REDOVNA DJELATNOST SVEUČILIŠTA U RIJECI (IZ EVIDENCIJSKIH PRIHODA)</v>
      </c>
      <c r="I68" s="182">
        <v>361003</v>
      </c>
      <c r="J68" s="182">
        <v>437250</v>
      </c>
      <c r="K68" s="182">
        <v>442200</v>
      </c>
      <c r="M68" s="139" t="str">
        <f t="shared" ref="M68:M131" si="16">LEFT(E68,3)</f>
        <v>313</v>
      </c>
      <c r="N68" s="139" t="str">
        <f t="shared" ref="N68:N131" si="17">LEFT(E68,2)</f>
        <v>31</v>
      </c>
      <c r="R68" s="139">
        <v>3715</v>
      </c>
      <c r="S68" s="139" t="s">
        <v>131</v>
      </c>
      <c r="U68" s="139" t="str">
        <f t="shared" si="10"/>
        <v>37</v>
      </c>
      <c r="V68" s="139" t="str">
        <f t="shared" si="11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43</v>
      </c>
      <c r="D69" s="144" t="str">
        <f t="shared" si="12"/>
        <v>Ostali prihodi za posebne namjene</v>
      </c>
      <c r="E69" s="149">
        <v>3211</v>
      </c>
      <c r="F69" s="144" t="str">
        <f t="shared" si="13"/>
        <v>Službena putovanja</v>
      </c>
      <c r="G69" s="183" t="s">
        <v>178</v>
      </c>
      <c r="H69" s="144" t="str">
        <f t="shared" si="15"/>
        <v>REDOVNA DJELATNOST SVEUČILIŠTA U RIJECI (IZ EVIDENCIJSKIH PRIHODA)</v>
      </c>
      <c r="I69" s="182">
        <v>25000</v>
      </c>
      <c r="J69" s="182">
        <v>27000</v>
      </c>
      <c r="K69" s="182">
        <v>20000</v>
      </c>
      <c r="M69" s="139" t="str">
        <f t="shared" si="16"/>
        <v>321</v>
      </c>
      <c r="N69" s="139" t="str">
        <f t="shared" si="17"/>
        <v>32</v>
      </c>
      <c r="R69" s="139">
        <v>3721</v>
      </c>
      <c r="S69" s="139" t="s">
        <v>69</v>
      </c>
      <c r="U69" s="139" t="str">
        <f t="shared" si="10"/>
        <v>37</v>
      </c>
      <c r="V69" s="139" t="str">
        <f t="shared" si="11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43</v>
      </c>
      <c r="D70" s="144" t="str">
        <f t="shared" si="12"/>
        <v>Ostali prihodi za posebne namjene</v>
      </c>
      <c r="E70" s="149">
        <v>3213</v>
      </c>
      <c r="F70" s="144" t="str">
        <f t="shared" si="13"/>
        <v>Stručno usavršavanje zaposlenika</v>
      </c>
      <c r="G70" s="183" t="s">
        <v>178</v>
      </c>
      <c r="H70" s="144" t="str">
        <f t="shared" si="15"/>
        <v>REDOVNA DJELATNOST SVEUČILIŠTA U RIJECI (IZ EVIDENCIJSKIH PRIHODA)</v>
      </c>
      <c r="I70" s="182">
        <v>20000</v>
      </c>
      <c r="J70" s="182">
        <v>21000</v>
      </c>
      <c r="K70" s="182">
        <v>19000</v>
      </c>
      <c r="M70" s="139" t="str">
        <f t="shared" si="16"/>
        <v>321</v>
      </c>
      <c r="N70" s="139" t="str">
        <f t="shared" si="17"/>
        <v>32</v>
      </c>
      <c r="R70" s="139">
        <v>3722</v>
      </c>
      <c r="S70" s="139" t="s">
        <v>154</v>
      </c>
      <c r="U70" s="139" t="str">
        <f t="shared" si="10"/>
        <v>37</v>
      </c>
      <c r="V70" s="139" t="str">
        <f t="shared" si="11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43</v>
      </c>
      <c r="D71" s="144" t="str">
        <f t="shared" si="12"/>
        <v>Ostali prihodi za posebne namjene</v>
      </c>
      <c r="E71" s="149">
        <v>3221</v>
      </c>
      <c r="F71" s="144" t="str">
        <f t="shared" si="13"/>
        <v>Uredski materijal i ostali materijalni rashodi</v>
      </c>
      <c r="G71" s="183" t="s">
        <v>178</v>
      </c>
      <c r="H71" s="144" t="str">
        <f t="shared" si="15"/>
        <v>REDOVNA DJELATNOST SVEUČILIŠTA U RIJECI (IZ EVIDENCIJSKIH PRIHODA)</v>
      </c>
      <c r="I71" s="182">
        <v>5000</v>
      </c>
      <c r="J71" s="182">
        <v>4000</v>
      </c>
      <c r="K71" s="182">
        <v>3000</v>
      </c>
      <c r="M71" s="139" t="str">
        <f t="shared" si="16"/>
        <v>322</v>
      </c>
      <c r="N71" s="139" t="str">
        <f t="shared" si="17"/>
        <v>32</v>
      </c>
      <c r="R71" s="139">
        <v>3723</v>
      </c>
      <c r="S71" s="139" t="s">
        <v>109</v>
      </c>
      <c r="U71" s="139" t="str">
        <f t="shared" si="10"/>
        <v>37</v>
      </c>
      <c r="V71" s="139" t="str">
        <f t="shared" si="11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43</v>
      </c>
      <c r="D72" s="144" t="str">
        <f t="shared" si="12"/>
        <v>Ostali prihodi za posebne namjene</v>
      </c>
      <c r="E72" s="149">
        <v>3225</v>
      </c>
      <c r="F72" s="144" t="str">
        <f t="shared" si="13"/>
        <v>Sitni inventar i auto gume</v>
      </c>
      <c r="G72" s="183" t="s">
        <v>178</v>
      </c>
      <c r="H72" s="144" t="str">
        <f t="shared" si="15"/>
        <v>REDOVNA DJELATNOST SVEUČILIŠTA U RIJECI (IZ EVIDENCIJSKIH PRIHODA)</v>
      </c>
      <c r="I72" s="182">
        <v>3500</v>
      </c>
      <c r="J72" s="182">
        <v>3500</v>
      </c>
      <c r="K72" s="182">
        <v>4000</v>
      </c>
      <c r="M72" s="139" t="str">
        <f t="shared" si="16"/>
        <v>322</v>
      </c>
      <c r="N72" s="139" t="str">
        <f t="shared" si="17"/>
        <v>32</v>
      </c>
      <c r="R72" s="139">
        <v>3811</v>
      </c>
      <c r="S72" s="139" t="s">
        <v>59</v>
      </c>
      <c r="U72" s="139" t="str">
        <f t="shared" si="10"/>
        <v>38</v>
      </c>
      <c r="V72" s="139" t="str">
        <f t="shared" si="11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43</v>
      </c>
      <c r="D73" s="144" t="str">
        <f t="shared" si="12"/>
        <v>Ostali prihodi za posebne namjene</v>
      </c>
      <c r="E73" s="149">
        <v>3231</v>
      </c>
      <c r="F73" s="144" t="str">
        <f t="shared" si="13"/>
        <v>Usluge telefona, pošte i prijevoza</v>
      </c>
      <c r="G73" s="183" t="s">
        <v>178</v>
      </c>
      <c r="H73" s="144" t="str">
        <f t="shared" si="15"/>
        <v>REDOVNA DJELATNOST SVEUČILIŠTA U RIJECI (IZ EVIDENCIJSKIH PRIHODA)</v>
      </c>
      <c r="I73" s="182">
        <v>500</v>
      </c>
      <c r="J73" s="182">
        <v>500</v>
      </c>
      <c r="K73" s="182">
        <v>500</v>
      </c>
      <c r="M73" s="139" t="str">
        <f t="shared" si="16"/>
        <v>323</v>
      </c>
      <c r="N73" s="139" t="str">
        <f t="shared" si="17"/>
        <v>32</v>
      </c>
      <c r="R73" s="139">
        <v>3812</v>
      </c>
      <c r="S73" s="139" t="s">
        <v>155</v>
      </c>
      <c r="U73" s="139" t="str">
        <f t="shared" si="10"/>
        <v>38</v>
      </c>
      <c r="V73" s="139" t="str">
        <f t="shared" si="11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43</v>
      </c>
      <c r="D74" s="144" t="str">
        <f t="shared" si="12"/>
        <v>Ostali prihodi za posebne namjene</v>
      </c>
      <c r="E74" s="149">
        <v>3233</v>
      </c>
      <c r="F74" s="144" t="str">
        <f t="shared" si="13"/>
        <v>Usluge promidžbe i informiranja</v>
      </c>
      <c r="G74" s="183" t="s">
        <v>178</v>
      </c>
      <c r="H74" s="144" t="str">
        <f t="shared" si="15"/>
        <v>REDOVNA DJELATNOST SVEUČILIŠTA U RIJECI (IZ EVIDENCIJSKIH PRIHODA)</v>
      </c>
      <c r="I74" s="182">
        <v>79000</v>
      </c>
      <c r="J74" s="182">
        <v>81000</v>
      </c>
      <c r="K74" s="182">
        <v>81500</v>
      </c>
      <c r="M74" s="139" t="str">
        <f t="shared" si="16"/>
        <v>323</v>
      </c>
      <c r="N74" s="139" t="str">
        <f t="shared" si="17"/>
        <v>32</v>
      </c>
      <c r="R74" s="139">
        <v>3813</v>
      </c>
      <c r="S74" s="139" t="s">
        <v>98</v>
      </c>
      <c r="U74" s="139" t="str">
        <f t="shared" ref="U74:U80" si="18">LEFT(R74,2)</f>
        <v>38</v>
      </c>
      <c r="V74" s="139" t="str">
        <f t="shared" ref="V74:V80" si="19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43</v>
      </c>
      <c r="D75" s="144" t="str">
        <f t="shared" si="12"/>
        <v>Ostali prihodi za posebne namjene</v>
      </c>
      <c r="E75" s="149">
        <v>3235</v>
      </c>
      <c r="F75" s="144" t="str">
        <f t="shared" si="13"/>
        <v>Zakupnine i najamnine</v>
      </c>
      <c r="G75" s="183" t="s">
        <v>178</v>
      </c>
      <c r="H75" s="144" t="str">
        <f t="shared" si="15"/>
        <v>REDOVNA DJELATNOST SVEUČILIŠTA U RIJECI (IZ EVIDENCIJSKIH PRIHODA)</v>
      </c>
      <c r="I75" s="182">
        <v>242000</v>
      </c>
      <c r="J75" s="182">
        <v>242000</v>
      </c>
      <c r="K75" s="182">
        <v>242000</v>
      </c>
      <c r="M75" s="139" t="str">
        <f t="shared" si="16"/>
        <v>323</v>
      </c>
      <c r="N75" s="139" t="str">
        <f t="shared" si="17"/>
        <v>32</v>
      </c>
      <c r="R75" s="139">
        <v>3821</v>
      </c>
      <c r="S75" s="139" t="s">
        <v>173</v>
      </c>
      <c r="U75" s="139" t="str">
        <f t="shared" si="18"/>
        <v>38</v>
      </c>
      <c r="V75" s="139" t="str">
        <f t="shared" si="19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43</v>
      </c>
      <c r="D76" s="144" t="str">
        <f t="shared" si="12"/>
        <v>Ostali prihodi za posebne namjene</v>
      </c>
      <c r="E76" s="149">
        <v>3237</v>
      </c>
      <c r="F76" s="144" t="str">
        <f t="shared" si="13"/>
        <v>Intelektualne i osobne usluge</v>
      </c>
      <c r="G76" s="183" t="s">
        <v>178</v>
      </c>
      <c r="H76" s="144" t="str">
        <f t="shared" si="15"/>
        <v>REDOVNA DJELATNOST SVEUČILIŠTA U RIJECI (IZ EVIDENCIJSKIH PRIHODA)</v>
      </c>
      <c r="I76" s="182">
        <v>330000</v>
      </c>
      <c r="J76" s="182">
        <v>350000</v>
      </c>
      <c r="K76" s="182">
        <v>366000</v>
      </c>
      <c r="M76" s="139" t="str">
        <f t="shared" si="16"/>
        <v>323</v>
      </c>
      <c r="N76" s="139" t="str">
        <f t="shared" si="17"/>
        <v>32</v>
      </c>
      <c r="R76" s="139">
        <v>3831</v>
      </c>
      <c r="S76" s="139" t="s">
        <v>156</v>
      </c>
      <c r="U76" s="139" t="str">
        <f t="shared" si="18"/>
        <v>38</v>
      </c>
      <c r="V76" s="139" t="str">
        <f t="shared" si="19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43</v>
      </c>
      <c r="D77" s="144" t="str">
        <f t="shared" si="12"/>
        <v>Ostali prihodi za posebne namjene</v>
      </c>
      <c r="E77" s="149">
        <v>3238</v>
      </c>
      <c r="F77" s="144" t="str">
        <f t="shared" si="13"/>
        <v>Računalne usluge</v>
      </c>
      <c r="G77" s="183" t="s">
        <v>178</v>
      </c>
      <c r="H77" s="144" t="str">
        <f t="shared" si="15"/>
        <v>REDOVNA DJELATNOST SVEUČILIŠTA U RIJECI (IZ EVIDENCIJSKIH PRIHODA)</v>
      </c>
      <c r="I77" s="182">
        <v>2000</v>
      </c>
      <c r="J77" s="182">
        <v>2000</v>
      </c>
      <c r="K77" s="182">
        <v>2500</v>
      </c>
      <c r="M77" s="139" t="str">
        <f t="shared" si="16"/>
        <v>323</v>
      </c>
      <c r="N77" s="139" t="str">
        <f t="shared" si="17"/>
        <v>32</v>
      </c>
      <c r="R77" s="139">
        <v>3832</v>
      </c>
      <c r="S77" s="139" t="s">
        <v>196</v>
      </c>
      <c r="U77" s="139" t="str">
        <f t="shared" si="18"/>
        <v>38</v>
      </c>
      <c r="V77" s="139" t="str">
        <f t="shared" si="19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43</v>
      </c>
      <c r="D78" s="144" t="str">
        <f t="shared" si="12"/>
        <v>Ostali prihodi za posebne namjene</v>
      </c>
      <c r="E78" s="149">
        <v>3239</v>
      </c>
      <c r="F78" s="144" t="str">
        <f t="shared" si="13"/>
        <v>Ostale usluge</v>
      </c>
      <c r="G78" s="183" t="s">
        <v>178</v>
      </c>
      <c r="H78" s="144" t="str">
        <f t="shared" si="15"/>
        <v>REDOVNA DJELATNOST SVEUČILIŠTA U RIJECI (IZ EVIDENCIJSKIH PRIHODA)</v>
      </c>
      <c r="I78" s="182">
        <v>52000</v>
      </c>
      <c r="J78" s="182">
        <v>55000</v>
      </c>
      <c r="K78" s="182">
        <v>57000</v>
      </c>
      <c r="M78" s="139" t="str">
        <f t="shared" si="16"/>
        <v>323</v>
      </c>
      <c r="N78" s="139" t="str">
        <f t="shared" si="17"/>
        <v>32</v>
      </c>
      <c r="R78" s="139">
        <v>3833</v>
      </c>
      <c r="S78" s="139" t="s">
        <v>157</v>
      </c>
      <c r="U78" s="139" t="str">
        <f t="shared" si="18"/>
        <v>38</v>
      </c>
      <c r="V78" s="139" t="str">
        <f t="shared" si="19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>08006</v>
      </c>
      <c r="B79" s="143" t="str">
        <f>IF(C79="","",VLOOKUP('Opći dio'!$C$3,'Opći dio'!$L$6:$U$137,9,FALSE))</f>
        <v>Sveučilišta i veleučilišta u Republici Hrvatskoj</v>
      </c>
      <c r="C79" s="149">
        <v>43</v>
      </c>
      <c r="D79" s="144" t="str">
        <f t="shared" si="12"/>
        <v>Ostali prihodi za posebne namjene</v>
      </c>
      <c r="E79" s="149">
        <v>3299</v>
      </c>
      <c r="F79" s="144" t="str">
        <f t="shared" si="13"/>
        <v>Ostali nespomenuti rashodi poslovanja</v>
      </c>
      <c r="G79" s="183" t="s">
        <v>178</v>
      </c>
      <c r="H79" s="144" t="str">
        <f t="shared" si="15"/>
        <v>REDOVNA DJELATNOST SVEUČILIŠTA U RIJECI (IZ EVIDENCIJSKIH PRIHODA)</v>
      </c>
      <c r="I79" s="182">
        <v>16385</v>
      </c>
      <c r="J79" s="182">
        <v>15000</v>
      </c>
      <c r="K79" s="182">
        <v>19000</v>
      </c>
      <c r="M79" s="139" t="str">
        <f t="shared" si="16"/>
        <v>329</v>
      </c>
      <c r="N79" s="139" t="str">
        <f t="shared" si="17"/>
        <v>32</v>
      </c>
      <c r="R79" s="139">
        <v>3834</v>
      </c>
      <c r="S79" s="139" t="s">
        <v>158</v>
      </c>
      <c r="U79" s="139" t="str">
        <f t="shared" si="18"/>
        <v>38</v>
      </c>
      <c r="V79" s="139" t="str">
        <f t="shared" si="19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>08006</v>
      </c>
      <c r="B80" s="143" t="str">
        <f>IF(C80="","",VLOOKUP('Opći dio'!$C$3,'Opći dio'!$L$6:$U$137,9,FALSE))</f>
        <v>Sveučilišta i veleučilišta u Republici Hrvatskoj</v>
      </c>
      <c r="C80" s="149">
        <v>43</v>
      </c>
      <c r="D80" s="144" t="str">
        <f t="shared" si="12"/>
        <v>Ostali prihodi za posebne namjene</v>
      </c>
      <c r="E80" s="149">
        <v>3241</v>
      </c>
      <c r="F80" s="144" t="str">
        <f t="shared" si="13"/>
        <v>Naknade troškova osobama izvan radnog odnosa</v>
      </c>
      <c r="G80" s="183" t="s">
        <v>178</v>
      </c>
      <c r="H80" s="144" t="str">
        <f t="shared" si="15"/>
        <v>REDOVNA DJELATNOST SVEUČILIŠTA U RIJECI (IZ EVIDENCIJSKIH PRIHODA)</v>
      </c>
      <c r="I80" s="182">
        <v>37000</v>
      </c>
      <c r="J80" s="182">
        <v>38000</v>
      </c>
      <c r="K80" s="182">
        <v>39000</v>
      </c>
      <c r="M80" s="139" t="str">
        <f t="shared" si="16"/>
        <v>324</v>
      </c>
      <c r="N80" s="139" t="str">
        <f t="shared" si="17"/>
        <v>32</v>
      </c>
      <c r="R80" s="139">
        <v>3835</v>
      </c>
      <c r="S80" s="139" t="s">
        <v>159</v>
      </c>
      <c r="U80" s="139" t="str">
        <f t="shared" si="18"/>
        <v>38</v>
      </c>
      <c r="V80" s="139" t="str">
        <f t="shared" si="19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>08006</v>
      </c>
      <c r="B81" s="143" t="str">
        <f>IF(C81="","",VLOOKUP('Opći dio'!$C$3,'Opći dio'!$L$6:$U$137,9,FALSE))</f>
        <v>Sveučilišta i veleučilišta u Republici Hrvatskoj</v>
      </c>
      <c r="C81" s="149">
        <v>43</v>
      </c>
      <c r="D81" s="144" t="str">
        <f t="shared" si="12"/>
        <v>Ostali prihodi za posebne namjene</v>
      </c>
      <c r="E81" s="149">
        <v>3431</v>
      </c>
      <c r="F81" s="144" t="str">
        <f t="shared" si="13"/>
        <v>Bankarske usluge i usluge platnog prometa</v>
      </c>
      <c r="G81" s="183" t="s">
        <v>178</v>
      </c>
      <c r="H81" s="144" t="str">
        <f t="shared" si="15"/>
        <v>REDOVNA DJELATNOST SVEUČILIŠTA U RIJECI (IZ EVIDENCIJSKIH PRIHODA)</v>
      </c>
      <c r="I81" s="182">
        <v>1000</v>
      </c>
      <c r="J81" s="182">
        <v>1000</v>
      </c>
      <c r="K81" s="182">
        <v>1000</v>
      </c>
      <c r="M81" s="139" t="str">
        <f t="shared" si="16"/>
        <v>343</v>
      </c>
      <c r="N81" s="139" t="str">
        <f t="shared" si="17"/>
        <v>34</v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>08006</v>
      </c>
      <c r="B82" s="143" t="str">
        <f>IF(C82="","",VLOOKUP('Opći dio'!$C$3,'Opći dio'!$L$6:$U$137,9,FALSE))</f>
        <v>Sveučilišta i veleučilišta u Republici Hrvatskoj</v>
      </c>
      <c r="C82" s="149">
        <v>43</v>
      </c>
      <c r="D82" s="144" t="str">
        <f t="shared" si="12"/>
        <v>Ostali prihodi za posebne namjene</v>
      </c>
      <c r="E82" s="149">
        <v>4123</v>
      </c>
      <c r="F82" s="144" t="str">
        <f t="shared" si="13"/>
        <v>Licence</v>
      </c>
      <c r="G82" s="183" t="s">
        <v>178</v>
      </c>
      <c r="H82" s="144" t="str">
        <f t="shared" si="15"/>
        <v>REDOVNA DJELATNOST SVEUČILIŠTA U RIJECI (IZ EVIDENCIJSKIH PRIHODA)</v>
      </c>
      <c r="I82" s="182">
        <v>31074</v>
      </c>
      <c r="J82" s="182">
        <v>7500</v>
      </c>
      <c r="K82" s="182">
        <v>7700</v>
      </c>
      <c r="M82" s="139" t="str">
        <f t="shared" si="16"/>
        <v>412</v>
      </c>
      <c r="N82" s="139" t="str">
        <f t="shared" si="17"/>
        <v>41</v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>08006</v>
      </c>
      <c r="B83" s="143" t="str">
        <f>IF(C83="","",VLOOKUP('Opći dio'!$C$3,'Opći dio'!$L$6:$U$137,9,FALSE))</f>
        <v>Sveučilišta i veleučilišta u Republici Hrvatskoj</v>
      </c>
      <c r="C83" s="149">
        <v>43</v>
      </c>
      <c r="D83" s="144" t="str">
        <f t="shared" si="12"/>
        <v>Ostali prihodi za posebne namjene</v>
      </c>
      <c r="E83" s="149">
        <v>4221</v>
      </c>
      <c r="F83" s="144" t="str">
        <f t="shared" si="13"/>
        <v>Uredska oprema i namještaj</v>
      </c>
      <c r="G83" s="183" t="s">
        <v>178</v>
      </c>
      <c r="H83" s="144" t="str">
        <f t="shared" si="15"/>
        <v>REDOVNA DJELATNOST SVEUČILIŠTA U RIJECI (IZ EVIDENCIJSKIH PRIHODA)</v>
      </c>
      <c r="I83" s="182">
        <v>15000</v>
      </c>
      <c r="J83" s="182">
        <v>2000</v>
      </c>
      <c r="K83" s="182">
        <v>7500</v>
      </c>
      <c r="M83" s="139" t="str">
        <f t="shared" si="16"/>
        <v>422</v>
      </c>
      <c r="N83" s="139" t="str">
        <f t="shared" si="17"/>
        <v>42</v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>08006</v>
      </c>
      <c r="B84" s="143" t="str">
        <f>IF(C84="","",VLOOKUP('Opći dio'!$C$3,'Opći dio'!$L$6:$U$137,9,FALSE))</f>
        <v>Sveučilišta i veleučilišta u Republici Hrvatskoj</v>
      </c>
      <c r="C84" s="149">
        <v>43</v>
      </c>
      <c r="D84" s="144" t="str">
        <f t="shared" si="12"/>
        <v>Ostali prihodi za posebne namjene</v>
      </c>
      <c r="E84" s="149">
        <v>4222</v>
      </c>
      <c r="F84" s="144" t="str">
        <f t="shared" si="13"/>
        <v>Komunikacijska oprema</v>
      </c>
      <c r="G84" s="183" t="s">
        <v>178</v>
      </c>
      <c r="H84" s="144" t="str">
        <f t="shared" si="15"/>
        <v>REDOVNA DJELATNOST SVEUČILIŠTA U RIJECI (IZ EVIDENCIJSKIH PRIHODA)</v>
      </c>
      <c r="I84" s="182">
        <v>4000</v>
      </c>
      <c r="J84" s="182">
        <v>3000</v>
      </c>
      <c r="K84" s="182">
        <v>8000</v>
      </c>
      <c r="M84" s="139" t="str">
        <f t="shared" si="16"/>
        <v>422</v>
      </c>
      <c r="N84" s="139" t="str">
        <f t="shared" si="17"/>
        <v>42</v>
      </c>
      <c r="R84" s="139">
        <v>4111</v>
      </c>
      <c r="S84" s="139" t="s">
        <v>160</v>
      </c>
      <c r="U84" s="139" t="str">
        <f t="shared" ref="U84:U101" si="20">LEFT(R84,2)</f>
        <v>41</v>
      </c>
      <c r="V84" s="139" t="str">
        <f t="shared" ref="V84:V118" si="21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2"/>
        <v/>
      </c>
      <c r="E85" s="149"/>
      <c r="F85" s="144" t="str">
        <f t="shared" si="13"/>
        <v/>
      </c>
      <c r="G85" s="183"/>
      <c r="H85" s="144" t="str">
        <f t="shared" si="15"/>
        <v/>
      </c>
      <c r="I85" s="182"/>
      <c r="J85" s="182"/>
      <c r="K85" s="182"/>
      <c r="M85" s="139" t="str">
        <f t="shared" si="16"/>
        <v/>
      </c>
      <c r="N85" s="139" t="str">
        <f t="shared" si="17"/>
        <v/>
      </c>
      <c r="R85" s="139">
        <v>4113</v>
      </c>
      <c r="S85" s="139" t="s">
        <v>194</v>
      </c>
      <c r="U85" s="139" t="str">
        <f t="shared" si="20"/>
        <v>41</v>
      </c>
      <c r="V85" s="139" t="str">
        <f t="shared" si="21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>08006</v>
      </c>
      <c r="B86" s="143" t="str">
        <f>IF(C86="","",VLOOKUP('Opći dio'!$C$3,'Opći dio'!$L$6:$U$137,9,FALSE))</f>
        <v>Sveučilišta i veleučilišta u Republici Hrvatskoj</v>
      </c>
      <c r="C86" s="149">
        <v>52</v>
      </c>
      <c r="D86" s="144" t="str">
        <f t="shared" si="12"/>
        <v>Ostale pomoći</v>
      </c>
      <c r="E86" s="149">
        <v>3111</v>
      </c>
      <c r="F86" s="144" t="str">
        <f t="shared" si="13"/>
        <v>Plaće za redovan rad</v>
      </c>
      <c r="G86" s="183" t="s">
        <v>178</v>
      </c>
      <c r="H86" s="144" t="str">
        <f t="shared" si="15"/>
        <v>REDOVNA DJELATNOST SVEUČILIŠTA U RIJECI (IZ EVIDENCIJSKIH PRIHODA)</v>
      </c>
      <c r="I86" s="182">
        <v>245000</v>
      </c>
      <c r="J86" s="182">
        <v>247000</v>
      </c>
      <c r="K86" s="182">
        <v>250000</v>
      </c>
      <c r="M86" s="139" t="str">
        <f t="shared" si="16"/>
        <v>311</v>
      </c>
      <c r="N86" s="139" t="str">
        <f t="shared" si="17"/>
        <v>31</v>
      </c>
      <c r="R86" s="139">
        <v>4122</v>
      </c>
      <c r="S86" s="139" t="s">
        <v>161</v>
      </c>
      <c r="U86" s="139" t="str">
        <f t="shared" si="20"/>
        <v>41</v>
      </c>
      <c r="V86" s="139" t="str">
        <f t="shared" si="21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>08006</v>
      </c>
      <c r="B87" s="143" t="str">
        <f>IF(C87="","",VLOOKUP('Opći dio'!$C$3,'Opći dio'!$L$6:$U$137,9,FALSE))</f>
        <v>Sveučilišta i veleučilišta u Republici Hrvatskoj</v>
      </c>
      <c r="C87" s="149">
        <v>52</v>
      </c>
      <c r="D87" s="144" t="str">
        <f t="shared" si="12"/>
        <v>Ostale pomoći</v>
      </c>
      <c r="E87" s="149">
        <v>3132</v>
      </c>
      <c r="F87" s="144" t="str">
        <f t="shared" si="13"/>
        <v>Doprinosi za obvezno zdravstveno osiguranje</v>
      </c>
      <c r="G87" s="183" t="s">
        <v>178</v>
      </c>
      <c r="H87" s="144" t="str">
        <f t="shared" si="15"/>
        <v>REDOVNA DJELATNOST SVEUČILIŠTA U RIJECI (IZ EVIDENCIJSKIH PRIHODA)</v>
      </c>
      <c r="I87" s="182">
        <v>40425</v>
      </c>
      <c r="J87" s="182">
        <v>40755</v>
      </c>
      <c r="K87" s="182">
        <v>41250</v>
      </c>
      <c r="M87" s="139" t="str">
        <f t="shared" si="16"/>
        <v>313</v>
      </c>
      <c r="N87" s="139" t="str">
        <f t="shared" si="17"/>
        <v>31</v>
      </c>
      <c r="R87" s="139">
        <v>4123</v>
      </c>
      <c r="S87" s="139" t="s">
        <v>132</v>
      </c>
      <c r="U87" s="139" t="str">
        <f t="shared" si="20"/>
        <v>41</v>
      </c>
      <c r="V87" s="139" t="str">
        <f t="shared" si="21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>08006</v>
      </c>
      <c r="B88" s="143" t="str">
        <f>IF(C88="","",VLOOKUP('Opći dio'!$C$3,'Opći dio'!$L$6:$U$137,9,FALSE))</f>
        <v>Sveučilišta i veleučilišta u Republici Hrvatskoj</v>
      </c>
      <c r="C88" s="149">
        <v>52</v>
      </c>
      <c r="D88" s="144" t="str">
        <f t="shared" si="12"/>
        <v>Ostale pomoći</v>
      </c>
      <c r="E88" s="149">
        <v>3212</v>
      </c>
      <c r="F88" s="144" t="str">
        <f t="shared" si="13"/>
        <v>Naknade za prijevoz, za rad na terenu i odvojeni život</v>
      </c>
      <c r="G88" s="183" t="s">
        <v>178</v>
      </c>
      <c r="H88" s="144" t="str">
        <f t="shared" si="15"/>
        <v>REDOVNA DJELATNOST SVEUČILIŠTA U RIJECI (IZ EVIDENCIJSKIH PRIHODA)</v>
      </c>
      <c r="I88" s="182">
        <v>2000</v>
      </c>
      <c r="J88" s="182">
        <v>2100</v>
      </c>
      <c r="K88" s="182">
        <v>2200</v>
      </c>
      <c r="M88" s="139" t="str">
        <f t="shared" si="16"/>
        <v>321</v>
      </c>
      <c r="N88" s="139" t="str">
        <f t="shared" si="17"/>
        <v>32</v>
      </c>
      <c r="R88" s="139">
        <v>4124</v>
      </c>
      <c r="S88" s="139" t="s">
        <v>118</v>
      </c>
      <c r="U88" s="139" t="str">
        <f t="shared" si="20"/>
        <v>41</v>
      </c>
      <c r="V88" s="139" t="str">
        <f t="shared" si="21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>08006</v>
      </c>
      <c r="B89" s="143" t="str">
        <f>IF(C89="","",VLOOKUP('Opći dio'!$C$3,'Opći dio'!$L$6:$U$137,9,FALSE))</f>
        <v>Sveučilišta i veleučilišta u Republici Hrvatskoj</v>
      </c>
      <c r="C89" s="149">
        <v>52</v>
      </c>
      <c r="D89" s="144" t="str">
        <f t="shared" si="12"/>
        <v>Ostale pomoći</v>
      </c>
      <c r="E89" s="149">
        <v>3211</v>
      </c>
      <c r="F89" s="144" t="str">
        <f t="shared" si="13"/>
        <v>Službena putovanja</v>
      </c>
      <c r="G89" s="183" t="s">
        <v>178</v>
      </c>
      <c r="H89" s="144" t="str">
        <f t="shared" si="15"/>
        <v>REDOVNA DJELATNOST SVEUČILIŠTA U RIJECI (IZ EVIDENCIJSKIH PRIHODA)</v>
      </c>
      <c r="I89" s="182">
        <v>51000</v>
      </c>
      <c r="J89" s="182">
        <v>51325</v>
      </c>
      <c r="K89" s="182">
        <v>51325</v>
      </c>
      <c r="M89" s="139" t="str">
        <f t="shared" si="16"/>
        <v>321</v>
      </c>
      <c r="N89" s="139" t="str">
        <f t="shared" si="17"/>
        <v>32</v>
      </c>
      <c r="R89" s="139">
        <v>4126</v>
      </c>
      <c r="S89" s="139" t="s">
        <v>162</v>
      </c>
      <c r="U89" s="139" t="str">
        <f t="shared" si="20"/>
        <v>41</v>
      </c>
      <c r="V89" s="139" t="str">
        <f t="shared" si="21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>08006</v>
      </c>
      <c r="B90" s="143" t="str">
        <f>IF(C90="","",VLOOKUP('Opći dio'!$C$3,'Opći dio'!$L$6:$U$137,9,FALSE))</f>
        <v>Sveučilišta i veleučilišta u Republici Hrvatskoj</v>
      </c>
      <c r="C90" s="149">
        <v>52</v>
      </c>
      <c r="D90" s="144" t="str">
        <f t="shared" si="12"/>
        <v>Ostale pomoći</v>
      </c>
      <c r="E90" s="149">
        <v>3213</v>
      </c>
      <c r="F90" s="144" t="str">
        <f t="shared" si="13"/>
        <v>Stručno usavršavanje zaposlenika</v>
      </c>
      <c r="G90" s="183" t="s">
        <v>178</v>
      </c>
      <c r="H90" s="144" t="str">
        <f t="shared" si="15"/>
        <v>REDOVNA DJELATNOST SVEUČILIŠTA U RIJECI (IZ EVIDENCIJSKIH PRIHODA)</v>
      </c>
      <c r="I90" s="182">
        <v>78000</v>
      </c>
      <c r="J90" s="182">
        <v>75000</v>
      </c>
      <c r="K90" s="182">
        <v>65000</v>
      </c>
      <c r="M90" s="139" t="str">
        <f t="shared" si="16"/>
        <v>321</v>
      </c>
      <c r="N90" s="139" t="str">
        <f t="shared" si="17"/>
        <v>32</v>
      </c>
      <c r="R90" s="139">
        <v>4211</v>
      </c>
      <c r="S90" s="139" t="s">
        <v>176</v>
      </c>
      <c r="U90" s="139" t="str">
        <f t="shared" si="20"/>
        <v>42</v>
      </c>
      <c r="V90" s="139" t="str">
        <f t="shared" si="21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>08006</v>
      </c>
      <c r="B91" s="143" t="str">
        <f>IF(C91="","",VLOOKUP('Opći dio'!$C$3,'Opći dio'!$L$6:$U$137,9,FALSE))</f>
        <v>Sveučilišta i veleučilišta u Republici Hrvatskoj</v>
      </c>
      <c r="C91" s="149">
        <v>52</v>
      </c>
      <c r="D91" s="144" t="str">
        <f t="shared" si="12"/>
        <v>Ostale pomoći</v>
      </c>
      <c r="E91" s="149">
        <v>3237</v>
      </c>
      <c r="F91" s="144" t="str">
        <f t="shared" si="13"/>
        <v>Intelektualne i osobne usluge</v>
      </c>
      <c r="G91" s="183" t="s">
        <v>178</v>
      </c>
      <c r="H91" s="144" t="str">
        <f t="shared" si="15"/>
        <v>REDOVNA DJELATNOST SVEUČILIŠTA U RIJECI (IZ EVIDENCIJSKIH PRIHODA)</v>
      </c>
      <c r="I91" s="182">
        <v>6790</v>
      </c>
      <c r="J91" s="182">
        <v>15000</v>
      </c>
      <c r="K91" s="182">
        <v>25000</v>
      </c>
      <c r="M91" s="139" t="str">
        <f t="shared" si="16"/>
        <v>323</v>
      </c>
      <c r="N91" s="139" t="str">
        <f t="shared" si="17"/>
        <v>32</v>
      </c>
      <c r="R91" s="139">
        <v>4212</v>
      </c>
      <c r="S91" s="139" t="s">
        <v>64</v>
      </c>
      <c r="U91" s="139" t="str">
        <f t="shared" si="20"/>
        <v>42</v>
      </c>
      <c r="V91" s="139" t="str">
        <f t="shared" si="21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>08006</v>
      </c>
      <c r="B92" s="143" t="str">
        <f>IF(C92="","",VLOOKUP('Opći dio'!$C$3,'Opći dio'!$L$6:$U$137,9,FALSE))</f>
        <v>Sveučilišta i veleučilišta u Republici Hrvatskoj</v>
      </c>
      <c r="C92" s="149">
        <v>52</v>
      </c>
      <c r="D92" s="144" t="str">
        <f t="shared" si="12"/>
        <v>Ostale pomoći</v>
      </c>
      <c r="E92" s="149">
        <v>3221</v>
      </c>
      <c r="F92" s="144" t="str">
        <f t="shared" si="13"/>
        <v>Uredski materijal i ostali materijalni rashodi</v>
      </c>
      <c r="G92" s="183" t="s">
        <v>178</v>
      </c>
      <c r="H92" s="144" t="str">
        <f t="shared" si="15"/>
        <v>REDOVNA DJELATNOST SVEUČILIŠTA U RIJECI (IZ EVIDENCIJSKIH PRIHODA)</v>
      </c>
      <c r="I92" s="182">
        <v>2000</v>
      </c>
      <c r="J92" s="182">
        <v>2000</v>
      </c>
      <c r="K92" s="182">
        <v>2000</v>
      </c>
      <c r="M92" s="139" t="str">
        <f t="shared" si="16"/>
        <v>322</v>
      </c>
      <c r="N92" s="139" t="str">
        <f t="shared" si="17"/>
        <v>32</v>
      </c>
      <c r="R92" s="139">
        <v>4213</v>
      </c>
      <c r="S92" s="139" t="s">
        <v>163</v>
      </c>
      <c r="U92" s="139" t="str">
        <f t="shared" si="20"/>
        <v>42</v>
      </c>
      <c r="V92" s="139" t="str">
        <f t="shared" si="21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>08006</v>
      </c>
      <c r="B93" s="143" t="str">
        <f>IF(C93="","",VLOOKUP('Opći dio'!$C$3,'Opći dio'!$L$6:$U$137,9,FALSE))</f>
        <v>Sveučilišta i veleučilišta u Republici Hrvatskoj</v>
      </c>
      <c r="C93" s="149">
        <v>52</v>
      </c>
      <c r="D93" s="144" t="str">
        <f t="shared" si="12"/>
        <v>Ostale pomoći</v>
      </c>
      <c r="E93" s="149">
        <v>3239</v>
      </c>
      <c r="F93" s="144" t="str">
        <f t="shared" si="13"/>
        <v>Ostale usluge</v>
      </c>
      <c r="G93" s="183" t="s">
        <v>178</v>
      </c>
      <c r="H93" s="144" t="str">
        <f t="shared" si="15"/>
        <v>REDOVNA DJELATNOST SVEUČILIŠTA U RIJECI (IZ EVIDENCIJSKIH PRIHODA)</v>
      </c>
      <c r="I93" s="182">
        <v>12000</v>
      </c>
      <c r="J93" s="182">
        <v>15000</v>
      </c>
      <c r="K93" s="182">
        <v>25000</v>
      </c>
      <c r="M93" s="139" t="str">
        <f t="shared" si="16"/>
        <v>323</v>
      </c>
      <c r="N93" s="139" t="str">
        <f t="shared" si="17"/>
        <v>32</v>
      </c>
      <c r="R93" s="139">
        <v>4214</v>
      </c>
      <c r="S93" s="139" t="s">
        <v>164</v>
      </c>
      <c r="U93" s="139" t="str">
        <f t="shared" si="20"/>
        <v>42</v>
      </c>
      <c r="V93" s="139" t="str">
        <f t="shared" si="21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>08006</v>
      </c>
      <c r="B94" s="143" t="str">
        <f>IF(C94="","",VLOOKUP('Opći dio'!$C$3,'Opći dio'!$L$6:$U$137,9,FALSE))</f>
        <v>Sveučilišta i veleučilišta u Republici Hrvatskoj</v>
      </c>
      <c r="C94" s="149">
        <v>52</v>
      </c>
      <c r="D94" s="144" t="str">
        <f t="shared" si="12"/>
        <v>Ostale pomoći</v>
      </c>
      <c r="E94" s="149">
        <v>4221</v>
      </c>
      <c r="F94" s="144" t="str">
        <f t="shared" si="13"/>
        <v>Uredska oprema i namještaj</v>
      </c>
      <c r="G94" s="183" t="s">
        <v>178</v>
      </c>
      <c r="H94" s="144" t="str">
        <f t="shared" si="15"/>
        <v>REDOVNA DJELATNOST SVEUČILIŠTA U RIJECI (IZ EVIDENCIJSKIH PRIHODA)</v>
      </c>
      <c r="I94" s="182">
        <v>5000</v>
      </c>
      <c r="J94" s="182">
        <v>0</v>
      </c>
      <c r="K94" s="182">
        <v>0</v>
      </c>
      <c r="M94" s="139" t="str">
        <f t="shared" si="16"/>
        <v>422</v>
      </c>
      <c r="N94" s="139" t="str">
        <f t="shared" si="17"/>
        <v>42</v>
      </c>
      <c r="R94" s="139">
        <v>4221</v>
      </c>
      <c r="S94" s="139" t="s">
        <v>99</v>
      </c>
      <c r="U94" s="139" t="str">
        <f t="shared" si="20"/>
        <v>42</v>
      </c>
      <c r="V94" s="139" t="str">
        <f t="shared" si="21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>08006</v>
      </c>
      <c r="B95" s="143" t="str">
        <f>IF(C95="","",VLOOKUP('Opći dio'!$C$3,'Opći dio'!$L$6:$U$137,9,FALSE))</f>
        <v>Sveučilišta i veleučilišta u Republici Hrvatskoj</v>
      </c>
      <c r="C95" s="149">
        <v>52</v>
      </c>
      <c r="D95" s="144" t="str">
        <f t="shared" si="12"/>
        <v>Ostale pomoći</v>
      </c>
      <c r="E95" s="149">
        <v>3235</v>
      </c>
      <c r="F95" s="144" t="str">
        <f t="shared" si="13"/>
        <v>Zakupnine i najamnine</v>
      </c>
      <c r="G95" s="183" t="s">
        <v>178</v>
      </c>
      <c r="H95" s="144" t="str">
        <f t="shared" si="15"/>
        <v>REDOVNA DJELATNOST SVEUČILIŠTA U RIJECI (IZ EVIDENCIJSKIH PRIHODA)</v>
      </c>
      <c r="I95" s="182">
        <v>10500</v>
      </c>
      <c r="J95" s="182">
        <v>12500</v>
      </c>
      <c r="K95" s="182">
        <v>14500</v>
      </c>
      <c r="M95" s="139" t="str">
        <f t="shared" si="16"/>
        <v>323</v>
      </c>
      <c r="N95" s="139" t="str">
        <f t="shared" si="17"/>
        <v>32</v>
      </c>
      <c r="R95" s="139">
        <v>4222</v>
      </c>
      <c r="S95" s="139" t="s">
        <v>110</v>
      </c>
      <c r="U95" s="139" t="str">
        <f t="shared" si="20"/>
        <v>42</v>
      </c>
      <c r="V95" s="139" t="str">
        <f t="shared" si="21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>08006</v>
      </c>
      <c r="B96" s="143" t="str">
        <f>IF(C96="","",VLOOKUP('Opći dio'!$C$3,'Opći dio'!$L$6:$U$137,9,FALSE))</f>
        <v>Sveučilišta i veleučilišta u Republici Hrvatskoj</v>
      </c>
      <c r="C96" s="149">
        <v>52</v>
      </c>
      <c r="D96" s="144" t="str">
        <f t="shared" si="12"/>
        <v>Ostale pomoći</v>
      </c>
      <c r="E96" s="149">
        <v>3211</v>
      </c>
      <c r="F96" s="144" t="str">
        <f t="shared" si="13"/>
        <v>Službena putovanja</v>
      </c>
      <c r="G96" s="183" t="s">
        <v>178</v>
      </c>
      <c r="H96" s="144" t="str">
        <f t="shared" si="15"/>
        <v>REDOVNA DJELATNOST SVEUČILIŠTA U RIJECI (IZ EVIDENCIJSKIH PRIHODA)</v>
      </c>
      <c r="I96" s="182">
        <v>39000</v>
      </c>
      <c r="J96" s="182">
        <v>30000</v>
      </c>
      <c r="K96" s="182">
        <v>40000</v>
      </c>
      <c r="M96" s="139" t="str">
        <f t="shared" si="16"/>
        <v>321</v>
      </c>
      <c r="N96" s="139" t="str">
        <f t="shared" si="17"/>
        <v>32</v>
      </c>
      <c r="R96" s="139">
        <v>4223</v>
      </c>
      <c r="S96" s="139" t="s">
        <v>123</v>
      </c>
      <c r="U96" s="139" t="str">
        <f t="shared" si="20"/>
        <v>42</v>
      </c>
      <c r="V96" s="139" t="str">
        <f t="shared" si="21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>08006</v>
      </c>
      <c r="B97" s="143" t="str">
        <f>IF(C97="","",VLOOKUP('Opći dio'!$C$3,'Opći dio'!$L$6:$U$137,9,FALSE))</f>
        <v>Sveučilišta i veleučilišta u Republici Hrvatskoj</v>
      </c>
      <c r="C97" s="149">
        <v>52</v>
      </c>
      <c r="D97" s="144" t="str">
        <f t="shared" si="12"/>
        <v>Ostale pomoći</v>
      </c>
      <c r="E97" s="149">
        <v>3213</v>
      </c>
      <c r="F97" s="144" t="str">
        <f t="shared" si="13"/>
        <v>Stručno usavršavanje zaposlenika</v>
      </c>
      <c r="G97" s="183" t="s">
        <v>178</v>
      </c>
      <c r="H97" s="144" t="str">
        <f t="shared" si="15"/>
        <v>REDOVNA DJELATNOST SVEUČILIŠTA U RIJECI (IZ EVIDENCIJSKIH PRIHODA)</v>
      </c>
      <c r="I97" s="182">
        <v>49000</v>
      </c>
      <c r="J97" s="182">
        <v>20000</v>
      </c>
      <c r="K97" s="182">
        <v>90000</v>
      </c>
      <c r="M97" s="139" t="str">
        <f t="shared" si="16"/>
        <v>321</v>
      </c>
      <c r="N97" s="139" t="str">
        <f t="shared" si="17"/>
        <v>32</v>
      </c>
      <c r="R97" s="139">
        <v>4224</v>
      </c>
      <c r="S97" s="139" t="s">
        <v>116</v>
      </c>
      <c r="U97" s="139" t="str">
        <f t="shared" si="20"/>
        <v>42</v>
      </c>
      <c r="V97" s="139" t="str">
        <f t="shared" si="21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>08006</v>
      </c>
      <c r="B98" s="143" t="str">
        <f>IF(C98="","",VLOOKUP('Opći dio'!$C$3,'Opći dio'!$L$6:$U$137,9,FALSE))</f>
        <v>Sveučilišta i veleučilišta u Republici Hrvatskoj</v>
      </c>
      <c r="C98" s="149">
        <v>52</v>
      </c>
      <c r="D98" s="144" t="str">
        <f t="shared" si="12"/>
        <v>Ostale pomoći</v>
      </c>
      <c r="E98" s="149">
        <v>3221</v>
      </c>
      <c r="F98" s="144" t="str">
        <f t="shared" si="13"/>
        <v>Uredski materijal i ostali materijalni rashodi</v>
      </c>
      <c r="G98" s="183" t="s">
        <v>178</v>
      </c>
      <c r="H98" s="144" t="str">
        <f t="shared" si="15"/>
        <v>REDOVNA DJELATNOST SVEUČILIŠTA U RIJECI (IZ EVIDENCIJSKIH PRIHODA)</v>
      </c>
      <c r="I98" s="182">
        <v>2000</v>
      </c>
      <c r="J98" s="182">
        <v>2000</v>
      </c>
      <c r="K98" s="182">
        <v>2100</v>
      </c>
      <c r="M98" s="139" t="str">
        <f t="shared" si="16"/>
        <v>322</v>
      </c>
      <c r="N98" s="139" t="str">
        <f t="shared" si="17"/>
        <v>32</v>
      </c>
      <c r="R98" s="139">
        <v>4225</v>
      </c>
      <c r="S98" s="139" t="s">
        <v>120</v>
      </c>
      <c r="U98" s="139" t="str">
        <f t="shared" si="20"/>
        <v>42</v>
      </c>
      <c r="V98" s="139" t="str">
        <f t="shared" si="21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>08006</v>
      </c>
      <c r="B99" s="143" t="str">
        <f>IF(C99="","",VLOOKUP('Opći dio'!$C$3,'Opći dio'!$L$6:$U$137,9,FALSE))</f>
        <v>Sveučilišta i veleučilišta u Republici Hrvatskoj</v>
      </c>
      <c r="C99" s="149">
        <v>52</v>
      </c>
      <c r="D99" s="144" t="str">
        <f t="shared" si="12"/>
        <v>Ostale pomoći</v>
      </c>
      <c r="E99" s="149">
        <v>3231</v>
      </c>
      <c r="F99" s="144" t="str">
        <f t="shared" si="13"/>
        <v>Usluge telefona, pošte i prijevoza</v>
      </c>
      <c r="G99" s="183" t="s">
        <v>178</v>
      </c>
      <c r="H99" s="144" t="str">
        <f t="shared" si="15"/>
        <v>REDOVNA DJELATNOST SVEUČILIŠTA U RIJECI (IZ EVIDENCIJSKIH PRIHODA)</v>
      </c>
      <c r="I99" s="182">
        <v>1000</v>
      </c>
      <c r="J99" s="182">
        <v>1100</v>
      </c>
      <c r="K99" s="182">
        <v>1200</v>
      </c>
      <c r="M99" s="139" t="str">
        <f t="shared" si="16"/>
        <v>323</v>
      </c>
      <c r="N99" s="139" t="str">
        <f t="shared" si="17"/>
        <v>32</v>
      </c>
      <c r="R99" s="139">
        <v>4226</v>
      </c>
      <c r="S99" s="139" t="s">
        <v>165</v>
      </c>
      <c r="U99" s="139" t="str">
        <f t="shared" si="20"/>
        <v>42</v>
      </c>
      <c r="V99" s="139" t="str">
        <f t="shared" si="21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>08006</v>
      </c>
      <c r="B100" s="143" t="str">
        <f>IF(C100="","",VLOOKUP('Opći dio'!$C$3,'Opći dio'!$L$6:$U$137,9,FALSE))</f>
        <v>Sveučilišta i veleučilišta u Republici Hrvatskoj</v>
      </c>
      <c r="C100" s="149">
        <v>52</v>
      </c>
      <c r="D100" s="144" t="str">
        <f t="shared" si="12"/>
        <v>Ostale pomoći</v>
      </c>
      <c r="E100" s="149">
        <v>3235</v>
      </c>
      <c r="F100" s="144" t="str">
        <f t="shared" si="13"/>
        <v>Zakupnine i najamnine</v>
      </c>
      <c r="G100" s="183" t="s">
        <v>178</v>
      </c>
      <c r="H100" s="144" t="str">
        <f t="shared" si="15"/>
        <v>REDOVNA DJELATNOST SVEUČILIŠTA U RIJECI (IZ EVIDENCIJSKIH PRIHODA)</v>
      </c>
      <c r="I100" s="182">
        <v>14000</v>
      </c>
      <c r="J100" s="182">
        <v>17000</v>
      </c>
      <c r="K100" s="182">
        <v>26000</v>
      </c>
      <c r="M100" s="139" t="str">
        <f t="shared" si="16"/>
        <v>323</v>
      </c>
      <c r="N100" s="139" t="str">
        <f t="shared" si="17"/>
        <v>32</v>
      </c>
      <c r="R100" s="139">
        <v>4227</v>
      </c>
      <c r="S100" s="139" t="s">
        <v>133</v>
      </c>
      <c r="U100" s="139" t="str">
        <f t="shared" si="20"/>
        <v>42</v>
      </c>
      <c r="V100" s="139" t="str">
        <f t="shared" si="21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>08006</v>
      </c>
      <c r="B101" s="143" t="str">
        <f>IF(C101="","",VLOOKUP('Opći dio'!$C$3,'Opći dio'!$L$6:$U$137,9,FALSE))</f>
        <v>Sveučilišta i veleučilišta u Republici Hrvatskoj</v>
      </c>
      <c r="C101" s="149">
        <v>52</v>
      </c>
      <c r="D101" s="144" t="str">
        <f t="shared" si="12"/>
        <v>Ostale pomoći</v>
      </c>
      <c r="E101" s="149">
        <v>3237</v>
      </c>
      <c r="F101" s="144" t="str">
        <f t="shared" si="13"/>
        <v>Intelektualne i osobne usluge</v>
      </c>
      <c r="G101" s="183" t="s">
        <v>178</v>
      </c>
      <c r="H101" s="144" t="str">
        <f t="shared" si="15"/>
        <v>REDOVNA DJELATNOST SVEUČILIŠTA U RIJECI (IZ EVIDENCIJSKIH PRIHODA)</v>
      </c>
      <c r="I101" s="182">
        <v>39673</v>
      </c>
      <c r="J101" s="182">
        <v>35000</v>
      </c>
      <c r="K101" s="182">
        <v>66000</v>
      </c>
      <c r="M101" s="139" t="str">
        <f t="shared" si="16"/>
        <v>323</v>
      </c>
      <c r="N101" s="139" t="str">
        <f t="shared" si="17"/>
        <v>32</v>
      </c>
      <c r="R101" s="139">
        <v>4231</v>
      </c>
      <c r="S101" s="139" t="s">
        <v>166</v>
      </c>
      <c r="U101" s="139" t="str">
        <f t="shared" si="20"/>
        <v>42</v>
      </c>
      <c r="V101" s="139" t="str">
        <f t="shared" si="21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>08006</v>
      </c>
      <c r="B102" s="143" t="str">
        <f>IF(C102="","",VLOOKUP('Opći dio'!$C$3,'Opći dio'!$L$6:$U$137,9,FALSE))</f>
        <v>Sveučilišta i veleučilišta u Republici Hrvatskoj</v>
      </c>
      <c r="C102" s="149">
        <v>52</v>
      </c>
      <c r="D102" s="144" t="str">
        <f t="shared" si="12"/>
        <v>Ostale pomoći</v>
      </c>
      <c r="E102" s="149">
        <v>3239</v>
      </c>
      <c r="F102" s="144" t="str">
        <f t="shared" si="13"/>
        <v>Ostale usluge</v>
      </c>
      <c r="G102" s="183" t="s">
        <v>178</v>
      </c>
      <c r="H102" s="144" t="str">
        <f t="shared" si="15"/>
        <v>REDOVNA DJELATNOST SVEUČILIŠTA U RIJECI (IZ EVIDENCIJSKIH PRIHODA)</v>
      </c>
      <c r="I102" s="182">
        <v>7500</v>
      </c>
      <c r="J102" s="182">
        <v>13000</v>
      </c>
      <c r="K102" s="182">
        <v>13900</v>
      </c>
      <c r="M102" s="139" t="str">
        <f t="shared" si="16"/>
        <v>323</v>
      </c>
      <c r="N102" s="139" t="str">
        <f t="shared" si="17"/>
        <v>32</v>
      </c>
      <c r="R102" s="139">
        <v>4233</v>
      </c>
      <c r="S102" s="139" t="s">
        <v>174</v>
      </c>
      <c r="U102" s="139" t="str">
        <f t="shared" ref="U102:U129" si="22">LEFT(R102,2)</f>
        <v>42</v>
      </c>
      <c r="V102" s="139" t="str">
        <f t="shared" si="21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>08006</v>
      </c>
      <c r="B103" s="143" t="str">
        <f>IF(C103="","",VLOOKUP('Opći dio'!$C$3,'Opći dio'!$L$6:$U$137,9,FALSE))</f>
        <v>Sveučilišta i veleučilišta u Republici Hrvatskoj</v>
      </c>
      <c r="C103" s="149">
        <v>52</v>
      </c>
      <c r="D103" s="144" t="str">
        <f t="shared" si="12"/>
        <v>Ostale pomoći</v>
      </c>
      <c r="E103" s="149">
        <v>3241</v>
      </c>
      <c r="F103" s="144" t="str">
        <f t="shared" si="13"/>
        <v>Naknade troškova osobama izvan radnog odnosa</v>
      </c>
      <c r="G103" s="183" t="s">
        <v>178</v>
      </c>
      <c r="H103" s="144" t="str">
        <f t="shared" si="15"/>
        <v>REDOVNA DJELATNOST SVEUČILIŠTA U RIJECI (IZ EVIDENCIJSKIH PRIHODA)</v>
      </c>
      <c r="I103" s="182">
        <v>7500</v>
      </c>
      <c r="J103" s="182">
        <v>6000</v>
      </c>
      <c r="K103" s="182">
        <v>5000</v>
      </c>
      <c r="M103" s="139" t="str">
        <f t="shared" si="16"/>
        <v>324</v>
      </c>
      <c r="N103" s="139" t="str">
        <f t="shared" si="17"/>
        <v>32</v>
      </c>
      <c r="R103" s="139">
        <v>4241</v>
      </c>
      <c r="S103" s="139" t="s">
        <v>111</v>
      </c>
      <c r="U103" s="139" t="str">
        <f t="shared" si="22"/>
        <v>42</v>
      </c>
      <c r="V103" s="139" t="str">
        <f t="shared" si="21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>08006</v>
      </c>
      <c r="B104" s="143" t="str">
        <f>IF(C104="","",VLOOKUP('Opći dio'!$C$3,'Opći dio'!$L$6:$U$137,9,FALSE))</f>
        <v>Sveučilišta i veleučilišta u Republici Hrvatskoj</v>
      </c>
      <c r="C104" s="149">
        <v>52</v>
      </c>
      <c r="D104" s="144" t="str">
        <f t="shared" si="12"/>
        <v>Ostale pomoći</v>
      </c>
      <c r="E104" s="149">
        <v>3294</v>
      </c>
      <c r="F104" s="144" t="str">
        <f t="shared" si="13"/>
        <v>Članarine i norme</v>
      </c>
      <c r="G104" s="183" t="s">
        <v>178</v>
      </c>
      <c r="H104" s="144" t="str">
        <f t="shared" si="15"/>
        <v>REDOVNA DJELATNOST SVEUČILIŠTA U RIJECI (IZ EVIDENCIJSKIH PRIHODA)</v>
      </c>
      <c r="I104" s="182">
        <v>5000</v>
      </c>
      <c r="J104" s="182">
        <v>14000</v>
      </c>
      <c r="K104" s="182">
        <v>14000</v>
      </c>
      <c r="M104" s="139" t="str">
        <f t="shared" si="16"/>
        <v>329</v>
      </c>
      <c r="N104" s="139" t="str">
        <f t="shared" si="17"/>
        <v>32</v>
      </c>
      <c r="R104" s="139">
        <v>4242</v>
      </c>
      <c r="S104" s="139" t="s">
        <v>143</v>
      </c>
      <c r="U104" s="139" t="str">
        <f t="shared" si="22"/>
        <v>42</v>
      </c>
      <c r="V104" s="139" t="str">
        <f t="shared" si="21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>08006</v>
      </c>
      <c r="B105" s="143" t="str">
        <f>IF(C105="","",VLOOKUP('Opći dio'!$C$3,'Opći dio'!$L$6:$U$137,9,FALSE))</f>
        <v>Sveučilišta i veleučilišta u Republici Hrvatskoj</v>
      </c>
      <c r="C105" s="149">
        <v>52</v>
      </c>
      <c r="D105" s="144" t="str">
        <f t="shared" si="12"/>
        <v>Ostale pomoći</v>
      </c>
      <c r="E105" s="149">
        <v>3431</v>
      </c>
      <c r="F105" s="144" t="str">
        <f t="shared" si="13"/>
        <v>Bankarske usluge i usluge platnog prometa</v>
      </c>
      <c r="G105" s="183" t="s">
        <v>178</v>
      </c>
      <c r="H105" s="144" t="str">
        <f t="shared" si="15"/>
        <v>REDOVNA DJELATNOST SVEUČILIŠTA U RIJECI (IZ EVIDENCIJSKIH PRIHODA)</v>
      </c>
      <c r="I105" s="182">
        <v>1000</v>
      </c>
      <c r="J105" s="182">
        <v>1000</v>
      </c>
      <c r="K105" s="182">
        <v>1000</v>
      </c>
      <c r="M105" s="139" t="str">
        <f t="shared" si="16"/>
        <v>343</v>
      </c>
      <c r="N105" s="139" t="str">
        <f t="shared" si="17"/>
        <v>34</v>
      </c>
      <c r="R105" s="139">
        <v>4244</v>
      </c>
      <c r="S105" s="139" t="s">
        <v>175</v>
      </c>
      <c r="U105" s="139" t="str">
        <f t="shared" si="22"/>
        <v>42</v>
      </c>
      <c r="V105" s="139" t="str">
        <f t="shared" si="21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>08006</v>
      </c>
      <c r="B106" s="143" t="str">
        <f>IF(C106="","",VLOOKUP('Opći dio'!$C$3,'Opći dio'!$L$6:$U$137,9,FALSE))</f>
        <v>Sveučilišta i veleučilišta u Republici Hrvatskoj</v>
      </c>
      <c r="C106" s="149">
        <v>52</v>
      </c>
      <c r="D106" s="144" t="str">
        <f t="shared" si="12"/>
        <v>Ostale pomoći</v>
      </c>
      <c r="E106" s="149">
        <v>3432</v>
      </c>
      <c r="F106" s="144" t="str">
        <f t="shared" si="13"/>
        <v>Negativne tečajne razlike i razlike zbog primjene valutne kl</v>
      </c>
      <c r="G106" s="183" t="s">
        <v>178</v>
      </c>
      <c r="H106" s="144" t="str">
        <f t="shared" si="15"/>
        <v>REDOVNA DJELATNOST SVEUČILIŠTA U RIJECI (IZ EVIDENCIJSKIH PRIHODA)</v>
      </c>
      <c r="I106" s="182">
        <v>500</v>
      </c>
      <c r="J106" s="182">
        <v>0</v>
      </c>
      <c r="K106" s="182">
        <v>0</v>
      </c>
      <c r="M106" s="139" t="str">
        <f t="shared" si="16"/>
        <v>343</v>
      </c>
      <c r="N106" s="139" t="str">
        <f t="shared" si="17"/>
        <v>34</v>
      </c>
      <c r="R106" s="139">
        <v>4251</v>
      </c>
      <c r="S106" s="139" t="s">
        <v>167</v>
      </c>
      <c r="U106" s="139" t="str">
        <f t="shared" si="22"/>
        <v>42</v>
      </c>
      <c r="V106" s="139" t="str">
        <f t="shared" si="21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>08006</v>
      </c>
      <c r="B107" s="143" t="str">
        <f>IF(C107="","",VLOOKUP('Opći dio'!$C$3,'Opći dio'!$L$6:$U$137,9,FALSE))</f>
        <v>Sveučilišta i veleučilišta u Republici Hrvatskoj</v>
      </c>
      <c r="C107" s="149">
        <v>52</v>
      </c>
      <c r="D107" s="144" t="str">
        <f t="shared" si="12"/>
        <v>Ostale pomoći</v>
      </c>
      <c r="E107" s="149">
        <v>4221</v>
      </c>
      <c r="F107" s="144" t="str">
        <f t="shared" si="13"/>
        <v>Uredska oprema i namještaj</v>
      </c>
      <c r="G107" s="183" t="s">
        <v>178</v>
      </c>
      <c r="H107" s="144" t="str">
        <f t="shared" si="15"/>
        <v>REDOVNA DJELATNOST SVEUČILIŠTA U RIJECI (IZ EVIDENCIJSKIH PRIHODA)</v>
      </c>
      <c r="I107" s="182">
        <v>10000</v>
      </c>
      <c r="J107" s="182">
        <v>15000</v>
      </c>
      <c r="K107" s="182">
        <v>13000</v>
      </c>
      <c r="M107" s="139" t="str">
        <f t="shared" si="16"/>
        <v>422</v>
      </c>
      <c r="N107" s="139" t="str">
        <f t="shared" si="17"/>
        <v>42</v>
      </c>
      <c r="R107" s="139">
        <v>4252</v>
      </c>
      <c r="S107" s="139" t="s">
        <v>168</v>
      </c>
      <c r="U107" s="139" t="str">
        <f t="shared" si="22"/>
        <v>42</v>
      </c>
      <c r="V107" s="139" t="str">
        <f t="shared" si="21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>08006</v>
      </c>
      <c r="B108" s="143" t="str">
        <f>IF(C108="","",VLOOKUP('Opći dio'!$C$3,'Opći dio'!$L$6:$U$137,9,FALSE))</f>
        <v>Sveučilišta i veleučilišta u Republici Hrvatskoj</v>
      </c>
      <c r="C108" s="149">
        <v>52</v>
      </c>
      <c r="D108" s="144" t="str">
        <f t="shared" si="12"/>
        <v>Ostale pomoći</v>
      </c>
      <c r="E108" s="149">
        <v>3225</v>
      </c>
      <c r="F108" s="144" t="str">
        <f t="shared" si="13"/>
        <v>Sitni inventar i auto gume</v>
      </c>
      <c r="G108" s="183" t="s">
        <v>178</v>
      </c>
      <c r="H108" s="144" t="str">
        <f t="shared" si="15"/>
        <v>REDOVNA DJELATNOST SVEUČILIŠTA U RIJECI (IZ EVIDENCIJSKIH PRIHODA)</v>
      </c>
      <c r="I108" s="182">
        <v>4000</v>
      </c>
      <c r="J108" s="182">
        <v>4500</v>
      </c>
      <c r="K108" s="182">
        <v>5000</v>
      </c>
      <c r="M108" s="139" t="str">
        <f t="shared" si="16"/>
        <v>322</v>
      </c>
      <c r="N108" s="139" t="str">
        <f t="shared" si="17"/>
        <v>32</v>
      </c>
      <c r="R108" s="139">
        <v>4262</v>
      </c>
      <c r="S108" s="139" t="s">
        <v>112</v>
      </c>
      <c r="U108" s="139" t="str">
        <f t="shared" si="22"/>
        <v>42</v>
      </c>
      <c r="V108" s="139" t="str">
        <f t="shared" si="21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2"/>
        <v/>
      </c>
      <c r="E109" s="149"/>
      <c r="F109" s="144" t="str">
        <f t="shared" si="13"/>
        <v/>
      </c>
      <c r="G109" s="183"/>
      <c r="H109" s="144" t="str">
        <f t="shared" si="15"/>
        <v/>
      </c>
      <c r="I109" s="182"/>
      <c r="J109" s="182"/>
      <c r="K109" s="182"/>
      <c r="M109" s="139" t="str">
        <f t="shared" si="16"/>
        <v/>
      </c>
      <c r="N109" s="139" t="str">
        <f t="shared" si="17"/>
        <v/>
      </c>
      <c r="R109" s="139">
        <v>4263</v>
      </c>
      <c r="S109" s="139" t="s">
        <v>169</v>
      </c>
      <c r="U109" s="139" t="str">
        <f t="shared" si="22"/>
        <v>42</v>
      </c>
      <c r="V109" s="139" t="str">
        <f t="shared" si="21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>08006</v>
      </c>
      <c r="B110" s="143" t="str">
        <f>IF(C110="","",VLOOKUP('Opći dio'!$C$3,'Opći dio'!$L$6:$U$137,9,FALSE))</f>
        <v>Sveučilišta i veleučilišta u Republici Hrvatskoj</v>
      </c>
      <c r="C110" s="149">
        <v>61</v>
      </c>
      <c r="D110" s="144" t="str">
        <f t="shared" si="12"/>
        <v>Donacije</v>
      </c>
      <c r="E110" s="149">
        <v>3225</v>
      </c>
      <c r="F110" s="144" t="str">
        <f t="shared" si="13"/>
        <v>Sitni inventar i auto gume</v>
      </c>
      <c r="G110" s="183" t="s">
        <v>178</v>
      </c>
      <c r="H110" s="144" t="str">
        <f t="shared" si="15"/>
        <v>REDOVNA DJELATNOST SVEUČILIŠTA U RIJECI (IZ EVIDENCIJSKIH PRIHODA)</v>
      </c>
      <c r="I110" s="182">
        <v>5000</v>
      </c>
      <c r="J110" s="182">
        <v>0</v>
      </c>
      <c r="K110" s="182">
        <v>0</v>
      </c>
      <c r="M110" s="139" t="str">
        <f t="shared" si="16"/>
        <v>322</v>
      </c>
      <c r="N110" s="139" t="str">
        <f t="shared" si="17"/>
        <v>32</v>
      </c>
      <c r="R110" s="139">
        <v>4264</v>
      </c>
      <c r="S110" s="139" t="s">
        <v>124</v>
      </c>
      <c r="U110" s="139" t="str">
        <f t="shared" si="22"/>
        <v>42</v>
      </c>
      <c r="V110" s="139" t="str">
        <f t="shared" si="21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>08006</v>
      </c>
      <c r="B111" s="143" t="str">
        <f>IF(C111="","",VLOOKUP('Opći dio'!$C$3,'Opći dio'!$L$6:$U$137,9,FALSE))</f>
        <v>Sveučilišta i veleučilišta u Republici Hrvatskoj</v>
      </c>
      <c r="C111" s="149">
        <v>61</v>
      </c>
      <c r="D111" s="144" t="str">
        <f t="shared" si="12"/>
        <v>Donacije</v>
      </c>
      <c r="E111" s="149">
        <v>3237</v>
      </c>
      <c r="F111" s="144" t="str">
        <f t="shared" si="13"/>
        <v>Intelektualne i osobne usluge</v>
      </c>
      <c r="G111" s="183" t="s">
        <v>178</v>
      </c>
      <c r="H111" s="144" t="str">
        <f t="shared" si="15"/>
        <v>REDOVNA DJELATNOST SVEUČILIŠTA U RIJECI (IZ EVIDENCIJSKIH PRIHODA)</v>
      </c>
      <c r="I111" s="182">
        <v>7502</v>
      </c>
      <c r="J111" s="182">
        <v>10000</v>
      </c>
      <c r="K111" s="182">
        <v>10000</v>
      </c>
      <c r="M111" s="139" t="str">
        <f t="shared" si="16"/>
        <v>323</v>
      </c>
      <c r="N111" s="139" t="str">
        <f t="shared" si="17"/>
        <v>32</v>
      </c>
      <c r="R111" s="139">
        <v>4312</v>
      </c>
      <c r="S111" s="139" t="s">
        <v>126</v>
      </c>
      <c r="U111" s="139" t="str">
        <f t="shared" si="22"/>
        <v>43</v>
      </c>
      <c r="V111" s="139" t="str">
        <f t="shared" si="21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2"/>
        <v/>
      </c>
      <c r="E112" s="149"/>
      <c r="F112" s="144" t="str">
        <f t="shared" si="13"/>
        <v/>
      </c>
      <c r="G112" s="183"/>
      <c r="H112" s="144" t="str">
        <f t="shared" si="15"/>
        <v/>
      </c>
      <c r="I112" s="182"/>
      <c r="J112" s="182"/>
      <c r="K112" s="182"/>
      <c r="M112" s="139" t="str">
        <f t="shared" si="16"/>
        <v/>
      </c>
      <c r="N112" s="139" t="str">
        <f t="shared" si="17"/>
        <v/>
      </c>
      <c r="R112" s="139">
        <v>4411</v>
      </c>
      <c r="S112" s="139" t="s">
        <v>170</v>
      </c>
      <c r="U112" s="139" t="str">
        <f t="shared" si="22"/>
        <v>44</v>
      </c>
      <c r="V112" s="139" t="str">
        <f t="shared" si="21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>08006</v>
      </c>
      <c r="B113" s="143" t="str">
        <f>IF(C113="","",VLOOKUP('Opći dio'!$C$3,'Opći dio'!$L$6:$U$137,9,FALSE))</f>
        <v>Sveučilišta i veleučilišta u Republici Hrvatskoj</v>
      </c>
      <c r="C113" s="149">
        <v>51</v>
      </c>
      <c r="D113" s="144" t="str">
        <f t="shared" si="12"/>
        <v>Pomoći EU</v>
      </c>
      <c r="E113" s="149">
        <v>3111</v>
      </c>
      <c r="F113" s="144" t="str">
        <f t="shared" si="13"/>
        <v>Plaće za redovan rad</v>
      </c>
      <c r="G113" s="183" t="s">
        <v>178</v>
      </c>
      <c r="H113" s="144" t="str">
        <f t="shared" si="15"/>
        <v>REDOVNA DJELATNOST SVEUČILIŠTA U RIJECI (IZ EVIDENCIJSKIH PRIHODA)</v>
      </c>
      <c r="I113" s="182">
        <v>2500000</v>
      </c>
      <c r="J113" s="182">
        <v>2400000</v>
      </c>
      <c r="K113" s="182">
        <v>2000000</v>
      </c>
      <c r="M113" s="139" t="str">
        <f t="shared" si="16"/>
        <v>311</v>
      </c>
      <c r="N113" s="139" t="str">
        <f t="shared" si="17"/>
        <v>31</v>
      </c>
      <c r="R113" s="139">
        <v>4511</v>
      </c>
      <c r="S113" s="139" t="s">
        <v>125</v>
      </c>
      <c r="U113" s="139" t="str">
        <f t="shared" si="22"/>
        <v>45</v>
      </c>
      <c r="V113" s="139" t="str">
        <f t="shared" si="21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2"/>
        <v/>
      </c>
      <c r="E114" s="149"/>
      <c r="F114" s="144" t="str">
        <f t="shared" si="13"/>
        <v/>
      </c>
      <c r="G114" s="183"/>
      <c r="H114" s="144" t="str">
        <f t="shared" si="15"/>
        <v/>
      </c>
      <c r="I114" s="182"/>
      <c r="J114" s="182"/>
      <c r="K114" s="182"/>
      <c r="M114" s="139" t="str">
        <f t="shared" si="16"/>
        <v/>
      </c>
      <c r="N114" s="139" t="str">
        <f t="shared" si="17"/>
        <v/>
      </c>
      <c r="R114" s="139">
        <v>4521</v>
      </c>
      <c r="S114" s="139" t="s">
        <v>144</v>
      </c>
      <c r="U114" s="139" t="str">
        <f t="shared" si="22"/>
        <v>45</v>
      </c>
      <c r="V114" s="139" t="str">
        <f t="shared" si="21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>08006</v>
      </c>
      <c r="B115" s="143" t="str">
        <f>IF(C115="","",VLOOKUP('Opći dio'!$C$3,'Opći dio'!$L$6:$U$137,9,FALSE))</f>
        <v>Sveučilišta i veleučilišta u Republici Hrvatskoj</v>
      </c>
      <c r="C115" s="149">
        <v>31</v>
      </c>
      <c r="D115" s="144" t="str">
        <f t="shared" si="12"/>
        <v>Vlastiti prihodi</v>
      </c>
      <c r="E115" s="149">
        <v>3691</v>
      </c>
      <c r="F115" s="144" t="str">
        <f t="shared" si="13"/>
        <v>Tekući prijenosi između proračunskih korisnika istog proraču</v>
      </c>
      <c r="G115" s="183" t="s">
        <v>178</v>
      </c>
      <c r="H115" s="144" t="str">
        <f t="shared" si="15"/>
        <v>REDOVNA DJELATNOST SVEUČILIŠTA U RIJECI (IZ EVIDENCIJSKIH PRIHODA)</v>
      </c>
      <c r="I115" s="182">
        <v>36000</v>
      </c>
      <c r="J115" s="182">
        <v>45000</v>
      </c>
      <c r="K115" s="182">
        <v>48000</v>
      </c>
      <c r="M115" s="139" t="str">
        <f t="shared" si="16"/>
        <v>369</v>
      </c>
      <c r="N115" s="139" t="str">
        <f t="shared" si="17"/>
        <v>36</v>
      </c>
      <c r="R115" s="139">
        <v>4531</v>
      </c>
      <c r="S115" s="139" t="s">
        <v>187</v>
      </c>
      <c r="U115" s="139" t="str">
        <f t="shared" si="22"/>
        <v>45</v>
      </c>
      <c r="V115" s="139" t="str">
        <f t="shared" si="21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>08006</v>
      </c>
      <c r="B116" s="143" t="str">
        <f>IF(C116="","",VLOOKUP('Opći dio'!$C$3,'Opći dio'!$L$6:$U$137,9,FALSE))</f>
        <v>Sveučilišta i veleučilišta u Republici Hrvatskoj</v>
      </c>
      <c r="C116" s="149">
        <v>43</v>
      </c>
      <c r="D116" s="144" t="str">
        <f t="shared" si="12"/>
        <v>Ostali prihodi za posebne namjene</v>
      </c>
      <c r="E116" s="149">
        <v>3691</v>
      </c>
      <c r="F116" s="144" t="str">
        <f t="shared" si="13"/>
        <v>Tekući prijenosi između proračunskih korisnika istog proraču</v>
      </c>
      <c r="G116" s="183" t="s">
        <v>178</v>
      </c>
      <c r="H116" s="144" t="str">
        <f t="shared" si="15"/>
        <v>REDOVNA DJELATNOST SVEUČILIŠTA U RIJECI (IZ EVIDENCIJSKIH PRIHODA)</v>
      </c>
      <c r="I116" s="182">
        <v>179926</v>
      </c>
      <c r="J116" s="182">
        <v>198000</v>
      </c>
      <c r="K116" s="182">
        <v>198000</v>
      </c>
      <c r="M116" s="139" t="str">
        <f t="shared" si="16"/>
        <v>369</v>
      </c>
      <c r="N116" s="139" t="str">
        <f t="shared" si="17"/>
        <v>36</v>
      </c>
      <c r="R116" s="139">
        <v>4541</v>
      </c>
      <c r="S116" s="139" t="s">
        <v>139</v>
      </c>
      <c r="U116" s="139" t="str">
        <f t="shared" si="22"/>
        <v>45</v>
      </c>
      <c r="V116" s="139" t="str">
        <f t="shared" si="21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2"/>
        <v/>
      </c>
      <c r="E117" s="149"/>
      <c r="F117" s="144" t="str">
        <f t="shared" si="13"/>
        <v/>
      </c>
      <c r="G117" s="183"/>
      <c r="H117" s="144" t="str">
        <f t="shared" si="15"/>
        <v/>
      </c>
      <c r="I117" s="182"/>
      <c r="J117" s="182"/>
      <c r="K117" s="182"/>
      <c r="M117" s="139" t="str">
        <f t="shared" si="16"/>
        <v/>
      </c>
      <c r="N117" s="139" t="str">
        <f t="shared" si="17"/>
        <v/>
      </c>
      <c r="R117" s="139">
        <v>5121</v>
      </c>
      <c r="S117" s="139" t="s">
        <v>195</v>
      </c>
      <c r="U117" s="139" t="str">
        <f t="shared" si="22"/>
        <v>51</v>
      </c>
      <c r="V117" s="139" t="str">
        <f t="shared" si="21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2"/>
        <v/>
      </c>
      <c r="E118" s="149"/>
      <c r="F118" s="144" t="str">
        <f t="shared" si="13"/>
        <v/>
      </c>
      <c r="G118" s="183"/>
      <c r="H118" s="144" t="str">
        <f t="shared" si="15"/>
        <v/>
      </c>
      <c r="I118" s="182"/>
      <c r="J118" s="182"/>
      <c r="K118" s="182"/>
      <c r="M118" s="139" t="str">
        <f t="shared" si="16"/>
        <v/>
      </c>
      <c r="N118" s="139" t="str">
        <f t="shared" si="17"/>
        <v/>
      </c>
      <c r="R118" s="139">
        <v>5443</v>
      </c>
      <c r="S118" s="139" t="s">
        <v>171</v>
      </c>
      <c r="U118" s="139" t="str">
        <f t="shared" si="22"/>
        <v>54</v>
      </c>
      <c r="V118" s="139" t="str">
        <f t="shared" si="21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2"/>
        <v/>
      </c>
      <c r="E119" s="149"/>
      <c r="F119" s="144" t="str">
        <f t="shared" si="13"/>
        <v/>
      </c>
      <c r="G119" s="183"/>
      <c r="H119" s="144" t="str">
        <f t="shared" si="15"/>
        <v/>
      </c>
      <c r="I119" s="182"/>
      <c r="J119" s="182"/>
      <c r="K119" s="182"/>
      <c r="M119" s="139" t="str">
        <f t="shared" si="16"/>
        <v/>
      </c>
      <c r="N119" s="139" t="str">
        <f t="shared" si="17"/>
        <v/>
      </c>
      <c r="R119" s="139">
        <v>5121</v>
      </c>
      <c r="S119" s="139" t="s">
        <v>740</v>
      </c>
      <c r="U119" s="139" t="str">
        <f t="shared" si="22"/>
        <v>51</v>
      </c>
      <c r="V119" s="139" t="str">
        <f t="shared" ref="V119:V129" si="23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2"/>
        <v/>
      </c>
      <c r="E120" s="149"/>
      <c r="F120" s="144" t="str">
        <f t="shared" si="13"/>
        <v/>
      </c>
      <c r="G120" s="183"/>
      <c r="H120" s="144" t="str">
        <f t="shared" si="15"/>
        <v/>
      </c>
      <c r="I120" s="182"/>
      <c r="J120" s="182"/>
      <c r="K120" s="182"/>
      <c r="M120" s="139" t="str">
        <f t="shared" si="16"/>
        <v/>
      </c>
      <c r="N120" s="139" t="str">
        <f t="shared" si="17"/>
        <v/>
      </c>
      <c r="R120" s="139">
        <v>5122</v>
      </c>
      <c r="S120" s="139" t="s">
        <v>741</v>
      </c>
      <c r="U120" s="139" t="str">
        <f t="shared" si="22"/>
        <v>51</v>
      </c>
      <c r="V120" s="139" t="str">
        <f t="shared" si="23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2"/>
        <v/>
      </c>
      <c r="E121" s="149"/>
      <c r="F121" s="144" t="str">
        <f t="shared" si="13"/>
        <v/>
      </c>
      <c r="G121" s="183"/>
      <c r="H121" s="144" t="str">
        <f t="shared" si="15"/>
        <v/>
      </c>
      <c r="I121" s="182"/>
      <c r="J121" s="182"/>
      <c r="K121" s="182"/>
      <c r="M121" s="139" t="str">
        <f t="shared" si="16"/>
        <v/>
      </c>
      <c r="N121" s="139" t="str">
        <f t="shared" si="17"/>
        <v/>
      </c>
      <c r="R121" s="139">
        <v>5141</v>
      </c>
      <c r="S121" s="139" t="s">
        <v>742</v>
      </c>
      <c r="U121" s="139" t="str">
        <f t="shared" si="22"/>
        <v>51</v>
      </c>
      <c r="V121" s="139" t="str">
        <f t="shared" si="23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2"/>
        <v/>
      </c>
      <c r="E122" s="149"/>
      <c r="F122" s="144" t="str">
        <f t="shared" si="13"/>
        <v/>
      </c>
      <c r="G122" s="183"/>
      <c r="H122" s="144" t="str">
        <f t="shared" si="15"/>
        <v/>
      </c>
      <c r="I122" s="182"/>
      <c r="J122" s="182"/>
      <c r="K122" s="182"/>
      <c r="M122" s="139" t="str">
        <f t="shared" si="16"/>
        <v/>
      </c>
      <c r="N122" s="139" t="str">
        <f t="shared" si="17"/>
        <v/>
      </c>
      <c r="R122" s="139">
        <v>5181</v>
      </c>
      <c r="S122" s="139" t="s">
        <v>743</v>
      </c>
      <c r="U122" s="139" t="str">
        <f t="shared" si="22"/>
        <v>51</v>
      </c>
      <c r="V122" s="139" t="str">
        <f t="shared" si="23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2"/>
        <v/>
      </c>
      <c r="E123" s="149"/>
      <c r="F123" s="144" t="str">
        <f t="shared" si="13"/>
        <v/>
      </c>
      <c r="G123" s="183"/>
      <c r="H123" s="144" t="str">
        <f t="shared" si="15"/>
        <v/>
      </c>
      <c r="I123" s="182"/>
      <c r="J123" s="182"/>
      <c r="K123" s="182"/>
      <c r="M123" s="139" t="str">
        <f t="shared" si="16"/>
        <v/>
      </c>
      <c r="N123" s="139" t="str">
        <f t="shared" si="17"/>
        <v/>
      </c>
      <c r="R123" s="139">
        <v>5183</v>
      </c>
      <c r="S123" s="139" t="s">
        <v>744</v>
      </c>
      <c r="U123" s="139" t="str">
        <f t="shared" si="22"/>
        <v>51</v>
      </c>
      <c r="V123" s="139" t="str">
        <f t="shared" si="23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2"/>
        <v/>
      </c>
      <c r="E124" s="149"/>
      <c r="F124" s="144" t="str">
        <f t="shared" si="13"/>
        <v/>
      </c>
      <c r="G124" s="183"/>
      <c r="H124" s="144" t="str">
        <f t="shared" si="15"/>
        <v/>
      </c>
      <c r="I124" s="182"/>
      <c r="J124" s="182"/>
      <c r="K124" s="182"/>
      <c r="M124" s="139" t="str">
        <f t="shared" si="16"/>
        <v/>
      </c>
      <c r="N124" s="139" t="str">
        <f t="shared" si="17"/>
        <v/>
      </c>
      <c r="R124" s="139">
        <v>5422</v>
      </c>
      <c r="S124" s="139" t="s">
        <v>745</v>
      </c>
      <c r="U124" s="139" t="str">
        <f t="shared" si="22"/>
        <v>54</v>
      </c>
      <c r="V124" s="139" t="str">
        <f t="shared" si="23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2"/>
        <v/>
      </c>
      <c r="E125" s="149"/>
      <c r="F125" s="144" t="str">
        <f t="shared" si="13"/>
        <v/>
      </c>
      <c r="G125" s="183"/>
      <c r="H125" s="144" t="str">
        <f t="shared" si="15"/>
        <v/>
      </c>
      <c r="I125" s="182"/>
      <c r="J125" s="182"/>
      <c r="K125" s="182"/>
      <c r="M125" s="139" t="str">
        <f t="shared" si="16"/>
        <v/>
      </c>
      <c r="N125" s="139" t="str">
        <f t="shared" si="17"/>
        <v/>
      </c>
      <c r="R125" s="139">
        <v>5431</v>
      </c>
      <c r="S125" s="139" t="s">
        <v>356</v>
      </c>
      <c r="U125" s="139" t="str">
        <f t="shared" si="22"/>
        <v>54</v>
      </c>
      <c r="V125" s="139" t="str">
        <f t="shared" si="23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2"/>
        <v/>
      </c>
      <c r="E126" s="149"/>
      <c r="F126" s="144" t="str">
        <f t="shared" si="13"/>
        <v/>
      </c>
      <c r="G126" s="183"/>
      <c r="H126" s="144" t="str">
        <f t="shared" si="15"/>
        <v/>
      </c>
      <c r="I126" s="182"/>
      <c r="J126" s="182"/>
      <c r="K126" s="182"/>
      <c r="M126" s="139" t="str">
        <f t="shared" si="16"/>
        <v/>
      </c>
      <c r="N126" s="139" t="str">
        <f t="shared" si="17"/>
        <v/>
      </c>
      <c r="R126" s="139">
        <v>5443</v>
      </c>
      <c r="S126" s="139" t="s">
        <v>746</v>
      </c>
      <c r="U126" s="139" t="str">
        <f t="shared" si="22"/>
        <v>54</v>
      </c>
      <c r="V126" s="139" t="str">
        <f t="shared" si="23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2"/>
        <v/>
      </c>
      <c r="E127" s="149"/>
      <c r="F127" s="144" t="str">
        <f t="shared" si="13"/>
        <v/>
      </c>
      <c r="G127" s="183"/>
      <c r="H127" s="144" t="str">
        <f t="shared" si="15"/>
        <v/>
      </c>
      <c r="I127" s="182"/>
      <c r="J127" s="182"/>
      <c r="K127" s="182"/>
      <c r="M127" s="139" t="str">
        <f t="shared" si="16"/>
        <v/>
      </c>
      <c r="N127" s="139" t="str">
        <f t="shared" si="17"/>
        <v/>
      </c>
      <c r="R127" s="139">
        <v>5445</v>
      </c>
      <c r="S127" s="139" t="s">
        <v>747</v>
      </c>
      <c r="U127" s="139" t="str">
        <f t="shared" si="22"/>
        <v>54</v>
      </c>
      <c r="V127" s="139" t="str">
        <f t="shared" si="23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2"/>
        <v/>
      </c>
      <c r="E128" s="149"/>
      <c r="F128" s="144" t="str">
        <f t="shared" si="13"/>
        <v/>
      </c>
      <c r="G128" s="183"/>
      <c r="H128" s="144" t="str">
        <f t="shared" si="15"/>
        <v/>
      </c>
      <c r="I128" s="182"/>
      <c r="J128" s="182"/>
      <c r="K128" s="182"/>
      <c r="M128" s="139" t="str">
        <f t="shared" si="16"/>
        <v/>
      </c>
      <c r="N128" s="139" t="str">
        <f t="shared" si="17"/>
        <v/>
      </c>
      <c r="R128" s="139">
        <v>5453</v>
      </c>
      <c r="S128" s="139" t="s">
        <v>748</v>
      </c>
      <c r="U128" s="139" t="str">
        <f t="shared" si="22"/>
        <v>54</v>
      </c>
      <c r="V128" s="139" t="str">
        <f t="shared" si="23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2"/>
        <v/>
      </c>
      <c r="E129" s="149"/>
      <c r="F129" s="144" t="str">
        <f t="shared" si="13"/>
        <v/>
      </c>
      <c r="G129" s="183"/>
      <c r="H129" s="144" t="str">
        <f t="shared" si="15"/>
        <v/>
      </c>
      <c r="I129" s="182"/>
      <c r="J129" s="182"/>
      <c r="K129" s="182"/>
      <c r="M129" s="139" t="str">
        <f t="shared" si="16"/>
        <v/>
      </c>
      <c r="N129" s="139" t="str">
        <f t="shared" si="17"/>
        <v/>
      </c>
      <c r="R129" s="139">
        <v>5472</v>
      </c>
      <c r="S129" s="139" t="s">
        <v>749</v>
      </c>
      <c r="U129" s="139" t="str">
        <f t="shared" si="22"/>
        <v>54</v>
      </c>
      <c r="V129" s="139" t="str">
        <f t="shared" si="23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2"/>
        <v/>
      </c>
      <c r="E130" s="149"/>
      <c r="F130" s="144" t="str">
        <f t="shared" si="13"/>
        <v/>
      </c>
      <c r="G130" s="183"/>
      <c r="H130" s="144" t="str">
        <f t="shared" si="15"/>
        <v/>
      </c>
      <c r="I130" s="182"/>
      <c r="J130" s="182"/>
      <c r="K130" s="182"/>
      <c r="M130" s="139" t="str">
        <f t="shared" si="16"/>
        <v/>
      </c>
      <c r="N130" s="139" t="str">
        <f t="shared" si="17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ref="D131:D194" si="24">IFERROR(VLOOKUP(C131,$O$6:$P$23,2,FALSE),"")</f>
        <v/>
      </c>
      <c r="E131" s="149"/>
      <c r="F131" s="144" t="str">
        <f t="shared" ref="F131:F194" si="25">IFERROR(VLOOKUP(E131,$R$5:$T$129,2,FALSE),"")</f>
        <v/>
      </c>
      <c r="G131" s="183"/>
      <c r="H131" s="144" t="str">
        <f t="shared" si="15"/>
        <v/>
      </c>
      <c r="I131" s="182"/>
      <c r="J131" s="182"/>
      <c r="K131" s="182"/>
      <c r="M131" s="139" t="str">
        <f t="shared" si="16"/>
        <v/>
      </c>
      <c r="N131" s="139" t="str">
        <f t="shared" si="17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si="24"/>
        <v/>
      </c>
      <c r="E132" s="149"/>
      <c r="F132" s="144" t="str">
        <f t="shared" si="25"/>
        <v/>
      </c>
      <c r="G132" s="183"/>
      <c r="H132" s="144" t="str">
        <f t="shared" ref="H132:H195" si="26">IFERROR(VLOOKUP(G132,$X$6:$Y$297,2,FALSE),"")</f>
        <v/>
      </c>
      <c r="I132" s="182"/>
      <c r="J132" s="182"/>
      <c r="K132" s="182"/>
      <c r="M132" s="139" t="str">
        <f t="shared" ref="M132:M195" si="27">LEFT(E132,3)</f>
        <v/>
      </c>
      <c r="N132" s="139" t="str">
        <f t="shared" ref="N132:N195" si="28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4"/>
        <v/>
      </c>
      <c r="E133" s="149"/>
      <c r="F133" s="144" t="str">
        <f t="shared" si="25"/>
        <v/>
      </c>
      <c r="G133" s="183"/>
      <c r="H133" s="144" t="str">
        <f t="shared" si="26"/>
        <v/>
      </c>
      <c r="I133" s="182"/>
      <c r="J133" s="182"/>
      <c r="K133" s="182"/>
      <c r="M133" s="139" t="str">
        <f t="shared" si="27"/>
        <v/>
      </c>
      <c r="N133" s="139" t="str">
        <f t="shared" si="28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4"/>
        <v/>
      </c>
      <c r="E134" s="149"/>
      <c r="F134" s="144" t="str">
        <f t="shared" si="25"/>
        <v/>
      </c>
      <c r="G134" s="183"/>
      <c r="H134" s="144" t="str">
        <f t="shared" si="26"/>
        <v/>
      </c>
      <c r="I134" s="182"/>
      <c r="J134" s="182"/>
      <c r="K134" s="182"/>
      <c r="M134" s="139" t="str">
        <f t="shared" si="27"/>
        <v/>
      </c>
      <c r="N134" s="139" t="str">
        <f t="shared" si="28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4"/>
        <v/>
      </c>
      <c r="E135" s="149"/>
      <c r="F135" s="144" t="str">
        <f t="shared" si="25"/>
        <v/>
      </c>
      <c r="G135" s="183"/>
      <c r="H135" s="144" t="str">
        <f t="shared" si="26"/>
        <v/>
      </c>
      <c r="I135" s="182"/>
      <c r="J135" s="182"/>
      <c r="K135" s="182"/>
      <c r="M135" s="139" t="str">
        <f t="shared" si="27"/>
        <v/>
      </c>
      <c r="N135" s="139" t="str">
        <f t="shared" si="28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4"/>
        <v/>
      </c>
      <c r="E136" s="149"/>
      <c r="F136" s="144" t="str">
        <f t="shared" si="25"/>
        <v/>
      </c>
      <c r="G136" s="183"/>
      <c r="H136" s="144" t="str">
        <f t="shared" si="26"/>
        <v/>
      </c>
      <c r="I136" s="182"/>
      <c r="J136" s="182"/>
      <c r="K136" s="182"/>
      <c r="M136" s="139" t="str">
        <f t="shared" si="27"/>
        <v/>
      </c>
      <c r="N136" s="139" t="str">
        <f t="shared" si="28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4"/>
        <v/>
      </c>
      <c r="E137" s="149"/>
      <c r="F137" s="144" t="str">
        <f t="shared" si="25"/>
        <v/>
      </c>
      <c r="G137" s="183"/>
      <c r="H137" s="144" t="str">
        <f t="shared" si="26"/>
        <v/>
      </c>
      <c r="I137" s="182"/>
      <c r="J137" s="182"/>
      <c r="K137" s="182"/>
      <c r="M137" s="139" t="str">
        <f t="shared" si="27"/>
        <v/>
      </c>
      <c r="N137" s="139" t="str">
        <f t="shared" si="28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4"/>
        <v/>
      </c>
      <c r="E138" s="149"/>
      <c r="F138" s="144" t="str">
        <f t="shared" si="25"/>
        <v/>
      </c>
      <c r="G138" s="183"/>
      <c r="H138" s="144" t="str">
        <f t="shared" si="26"/>
        <v/>
      </c>
      <c r="I138" s="182"/>
      <c r="J138" s="182"/>
      <c r="K138" s="182"/>
      <c r="M138" s="139" t="str">
        <f t="shared" si="27"/>
        <v/>
      </c>
      <c r="N138" s="139" t="str">
        <f t="shared" si="28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4"/>
        <v/>
      </c>
      <c r="E139" s="149"/>
      <c r="F139" s="144" t="str">
        <f t="shared" si="25"/>
        <v/>
      </c>
      <c r="G139" s="183"/>
      <c r="H139" s="144" t="str">
        <f t="shared" si="26"/>
        <v/>
      </c>
      <c r="I139" s="182"/>
      <c r="J139" s="182"/>
      <c r="K139" s="182"/>
      <c r="M139" s="139" t="str">
        <f t="shared" si="27"/>
        <v/>
      </c>
      <c r="N139" s="139" t="str">
        <f t="shared" si="28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4"/>
        <v/>
      </c>
      <c r="E140" s="149"/>
      <c r="F140" s="144" t="str">
        <f t="shared" si="25"/>
        <v/>
      </c>
      <c r="G140" s="183"/>
      <c r="H140" s="144" t="str">
        <f t="shared" si="26"/>
        <v/>
      </c>
      <c r="I140" s="182"/>
      <c r="J140" s="182"/>
      <c r="K140" s="182"/>
      <c r="M140" s="139" t="str">
        <f t="shared" si="27"/>
        <v/>
      </c>
      <c r="N140" s="139" t="str">
        <f t="shared" si="28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4"/>
        <v/>
      </c>
      <c r="E141" s="149"/>
      <c r="F141" s="144" t="str">
        <f t="shared" si="25"/>
        <v/>
      </c>
      <c r="G141" s="183"/>
      <c r="H141" s="144" t="str">
        <f t="shared" si="26"/>
        <v/>
      </c>
      <c r="I141" s="182"/>
      <c r="J141" s="182"/>
      <c r="K141" s="182"/>
      <c r="M141" s="139" t="str">
        <f t="shared" si="27"/>
        <v/>
      </c>
      <c r="N141" s="139" t="str">
        <f t="shared" si="28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4"/>
        <v/>
      </c>
      <c r="E142" s="149"/>
      <c r="F142" s="144" t="str">
        <f t="shared" si="25"/>
        <v/>
      </c>
      <c r="G142" s="183"/>
      <c r="H142" s="144" t="str">
        <f t="shared" si="26"/>
        <v/>
      </c>
      <c r="I142" s="182"/>
      <c r="J142" s="182"/>
      <c r="K142" s="182"/>
      <c r="M142" s="139" t="str">
        <f t="shared" si="27"/>
        <v/>
      </c>
      <c r="N142" s="139" t="str">
        <f t="shared" si="28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4"/>
        <v/>
      </c>
      <c r="E143" s="149"/>
      <c r="F143" s="144" t="str">
        <f t="shared" si="25"/>
        <v/>
      </c>
      <c r="G143" s="183"/>
      <c r="H143" s="144" t="str">
        <f t="shared" si="26"/>
        <v/>
      </c>
      <c r="I143" s="182"/>
      <c r="J143" s="182"/>
      <c r="K143" s="182"/>
      <c r="M143" s="139" t="str">
        <f t="shared" si="27"/>
        <v/>
      </c>
      <c r="N143" s="139" t="str">
        <f t="shared" si="28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4"/>
        <v/>
      </c>
      <c r="E144" s="149"/>
      <c r="F144" s="144" t="str">
        <f t="shared" si="25"/>
        <v/>
      </c>
      <c r="G144" s="183"/>
      <c r="H144" s="144" t="str">
        <f t="shared" si="26"/>
        <v/>
      </c>
      <c r="I144" s="182"/>
      <c r="J144" s="182"/>
      <c r="K144" s="182"/>
      <c r="M144" s="139" t="str">
        <f t="shared" si="27"/>
        <v/>
      </c>
      <c r="N144" s="139" t="str">
        <f t="shared" si="28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4"/>
        <v/>
      </c>
      <c r="E145" s="149"/>
      <c r="F145" s="144" t="str">
        <f t="shared" si="25"/>
        <v/>
      </c>
      <c r="G145" s="183"/>
      <c r="H145" s="144" t="str">
        <f t="shared" si="26"/>
        <v/>
      </c>
      <c r="I145" s="182"/>
      <c r="J145" s="182"/>
      <c r="K145" s="182"/>
      <c r="M145" s="139" t="str">
        <f t="shared" si="27"/>
        <v/>
      </c>
      <c r="N145" s="139" t="str">
        <f t="shared" si="28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4"/>
        <v/>
      </c>
      <c r="E146" s="149"/>
      <c r="F146" s="144" t="str">
        <f t="shared" si="25"/>
        <v/>
      </c>
      <c r="G146" s="183"/>
      <c r="H146" s="144" t="str">
        <f t="shared" si="26"/>
        <v/>
      </c>
      <c r="I146" s="182"/>
      <c r="J146" s="182"/>
      <c r="K146" s="182"/>
      <c r="M146" s="139" t="str">
        <f t="shared" si="27"/>
        <v/>
      </c>
      <c r="N146" s="139" t="str">
        <f t="shared" si="28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4"/>
        <v/>
      </c>
      <c r="E147" s="149"/>
      <c r="F147" s="144" t="str">
        <f t="shared" si="25"/>
        <v/>
      </c>
      <c r="G147" s="183"/>
      <c r="H147" s="144" t="str">
        <f t="shared" si="26"/>
        <v/>
      </c>
      <c r="I147" s="182"/>
      <c r="J147" s="182"/>
      <c r="K147" s="182"/>
      <c r="M147" s="139" t="str">
        <f t="shared" si="27"/>
        <v/>
      </c>
      <c r="N147" s="139" t="str">
        <f t="shared" si="28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4"/>
        <v/>
      </c>
      <c r="E148" s="149"/>
      <c r="F148" s="144" t="str">
        <f t="shared" si="25"/>
        <v/>
      </c>
      <c r="G148" s="183"/>
      <c r="H148" s="144" t="str">
        <f t="shared" si="26"/>
        <v/>
      </c>
      <c r="I148" s="182"/>
      <c r="J148" s="182"/>
      <c r="K148" s="182"/>
      <c r="M148" s="139" t="str">
        <f t="shared" si="27"/>
        <v/>
      </c>
      <c r="N148" s="139" t="str">
        <f t="shared" si="28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4"/>
        <v/>
      </c>
      <c r="E149" s="149"/>
      <c r="F149" s="144" t="str">
        <f t="shared" si="25"/>
        <v/>
      </c>
      <c r="G149" s="183"/>
      <c r="H149" s="144" t="str">
        <f t="shared" si="26"/>
        <v/>
      </c>
      <c r="I149" s="182"/>
      <c r="J149" s="182"/>
      <c r="K149" s="182"/>
      <c r="M149" s="139" t="str">
        <f t="shared" si="27"/>
        <v/>
      </c>
      <c r="N149" s="139" t="str">
        <f t="shared" si="28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4"/>
        <v/>
      </c>
      <c r="E150" s="149"/>
      <c r="F150" s="144" t="str">
        <f t="shared" si="25"/>
        <v/>
      </c>
      <c r="G150" s="183"/>
      <c r="H150" s="144" t="str">
        <f t="shared" si="26"/>
        <v/>
      </c>
      <c r="I150" s="182"/>
      <c r="J150" s="182"/>
      <c r="K150" s="182"/>
      <c r="M150" s="139" t="str">
        <f t="shared" si="27"/>
        <v/>
      </c>
      <c r="N150" s="139" t="str">
        <f t="shared" si="28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4"/>
        <v/>
      </c>
      <c r="E151" s="149"/>
      <c r="F151" s="144" t="str">
        <f t="shared" si="25"/>
        <v/>
      </c>
      <c r="G151" s="183"/>
      <c r="H151" s="144" t="str">
        <f t="shared" si="26"/>
        <v/>
      </c>
      <c r="I151" s="182"/>
      <c r="J151" s="182"/>
      <c r="K151" s="182"/>
      <c r="M151" s="139" t="str">
        <f t="shared" si="27"/>
        <v/>
      </c>
      <c r="N151" s="139" t="str">
        <f t="shared" si="28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4"/>
        <v/>
      </c>
      <c r="E152" s="149"/>
      <c r="F152" s="144" t="str">
        <f t="shared" si="25"/>
        <v/>
      </c>
      <c r="G152" s="183"/>
      <c r="H152" s="144" t="str">
        <f t="shared" si="26"/>
        <v/>
      </c>
      <c r="I152" s="182"/>
      <c r="J152" s="182"/>
      <c r="K152" s="182"/>
      <c r="M152" s="139" t="str">
        <f t="shared" si="27"/>
        <v/>
      </c>
      <c r="N152" s="139" t="str">
        <f t="shared" si="28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4"/>
        <v/>
      </c>
      <c r="E153" s="149"/>
      <c r="F153" s="144" t="str">
        <f t="shared" si="25"/>
        <v/>
      </c>
      <c r="G153" s="183"/>
      <c r="H153" s="144" t="str">
        <f t="shared" si="26"/>
        <v/>
      </c>
      <c r="I153" s="182"/>
      <c r="J153" s="182"/>
      <c r="K153" s="182"/>
      <c r="M153" s="139" t="str">
        <f t="shared" si="27"/>
        <v/>
      </c>
      <c r="N153" s="139" t="str">
        <f t="shared" si="28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4"/>
        <v/>
      </c>
      <c r="E154" s="149"/>
      <c r="F154" s="144" t="str">
        <f t="shared" si="25"/>
        <v/>
      </c>
      <c r="G154" s="183"/>
      <c r="H154" s="144" t="str">
        <f t="shared" si="26"/>
        <v/>
      </c>
      <c r="I154" s="182"/>
      <c r="J154" s="182"/>
      <c r="K154" s="182"/>
      <c r="M154" s="139" t="str">
        <f t="shared" si="27"/>
        <v/>
      </c>
      <c r="N154" s="139" t="str">
        <f t="shared" si="28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4"/>
        <v/>
      </c>
      <c r="E155" s="149"/>
      <c r="F155" s="144" t="str">
        <f t="shared" si="25"/>
        <v/>
      </c>
      <c r="G155" s="183"/>
      <c r="H155" s="144" t="str">
        <f t="shared" si="26"/>
        <v/>
      </c>
      <c r="I155" s="182"/>
      <c r="J155" s="182"/>
      <c r="K155" s="182"/>
      <c r="M155" s="139" t="str">
        <f t="shared" si="27"/>
        <v/>
      </c>
      <c r="N155" s="139" t="str">
        <f t="shared" si="28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4"/>
        <v/>
      </c>
      <c r="E156" s="149"/>
      <c r="F156" s="144" t="str">
        <f t="shared" si="25"/>
        <v/>
      </c>
      <c r="G156" s="183"/>
      <c r="H156" s="144" t="str">
        <f t="shared" si="26"/>
        <v/>
      </c>
      <c r="I156" s="182"/>
      <c r="J156" s="182"/>
      <c r="K156" s="182"/>
      <c r="M156" s="139" t="str">
        <f t="shared" si="27"/>
        <v/>
      </c>
      <c r="N156" s="139" t="str">
        <f t="shared" si="28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4"/>
        <v/>
      </c>
      <c r="E157" s="149"/>
      <c r="F157" s="144" t="str">
        <f t="shared" si="25"/>
        <v/>
      </c>
      <c r="G157" s="183"/>
      <c r="H157" s="144" t="str">
        <f t="shared" si="26"/>
        <v/>
      </c>
      <c r="I157" s="182"/>
      <c r="J157" s="182"/>
      <c r="K157" s="182"/>
      <c r="M157" s="139" t="str">
        <f t="shared" si="27"/>
        <v/>
      </c>
      <c r="N157" s="139" t="str">
        <f t="shared" si="28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4"/>
        <v/>
      </c>
      <c r="E158" s="149"/>
      <c r="F158" s="144" t="str">
        <f t="shared" si="25"/>
        <v/>
      </c>
      <c r="G158" s="183"/>
      <c r="H158" s="144" t="str">
        <f t="shared" si="26"/>
        <v/>
      </c>
      <c r="I158" s="182"/>
      <c r="J158" s="182"/>
      <c r="K158" s="182"/>
      <c r="M158" s="139" t="str">
        <f t="shared" si="27"/>
        <v/>
      </c>
      <c r="N158" s="139" t="str">
        <f t="shared" si="28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4"/>
        <v/>
      </c>
      <c r="E159" s="149"/>
      <c r="F159" s="144" t="str">
        <f t="shared" si="25"/>
        <v/>
      </c>
      <c r="G159" s="183"/>
      <c r="H159" s="144" t="str">
        <f t="shared" si="26"/>
        <v/>
      </c>
      <c r="I159" s="182"/>
      <c r="J159" s="182"/>
      <c r="K159" s="182"/>
      <c r="M159" s="139" t="str">
        <f t="shared" si="27"/>
        <v/>
      </c>
      <c r="N159" s="139" t="str">
        <f t="shared" si="28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4"/>
        <v/>
      </c>
      <c r="E160" s="149"/>
      <c r="F160" s="144" t="str">
        <f t="shared" si="25"/>
        <v/>
      </c>
      <c r="G160" s="183"/>
      <c r="H160" s="144" t="str">
        <f t="shared" si="26"/>
        <v/>
      </c>
      <c r="I160" s="182"/>
      <c r="J160" s="182"/>
      <c r="K160" s="182"/>
      <c r="M160" s="139" t="str">
        <f t="shared" si="27"/>
        <v/>
      </c>
      <c r="N160" s="139" t="str">
        <f t="shared" si="28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4"/>
        <v/>
      </c>
      <c r="E161" s="149"/>
      <c r="F161" s="144" t="str">
        <f t="shared" si="25"/>
        <v/>
      </c>
      <c r="G161" s="183"/>
      <c r="H161" s="144" t="str">
        <f t="shared" si="26"/>
        <v/>
      </c>
      <c r="I161" s="182"/>
      <c r="J161" s="182"/>
      <c r="K161" s="182"/>
      <c r="M161" s="139" t="str">
        <f t="shared" si="27"/>
        <v/>
      </c>
      <c r="N161" s="139" t="str">
        <f t="shared" si="28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4"/>
        <v/>
      </c>
      <c r="E162" s="149"/>
      <c r="F162" s="144" t="str">
        <f t="shared" si="25"/>
        <v/>
      </c>
      <c r="G162" s="183"/>
      <c r="H162" s="144" t="str">
        <f t="shared" si="26"/>
        <v/>
      </c>
      <c r="I162" s="182"/>
      <c r="J162" s="182"/>
      <c r="K162" s="182"/>
      <c r="M162" s="139" t="str">
        <f t="shared" si="27"/>
        <v/>
      </c>
      <c r="N162" s="139" t="str">
        <f t="shared" si="28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4"/>
        <v/>
      </c>
      <c r="E163" s="149"/>
      <c r="F163" s="144" t="str">
        <f t="shared" si="25"/>
        <v/>
      </c>
      <c r="G163" s="183"/>
      <c r="H163" s="144" t="str">
        <f t="shared" si="26"/>
        <v/>
      </c>
      <c r="I163" s="182"/>
      <c r="J163" s="182"/>
      <c r="K163" s="182"/>
      <c r="M163" s="139" t="str">
        <f t="shared" si="27"/>
        <v/>
      </c>
      <c r="N163" s="139" t="str">
        <f t="shared" si="28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4"/>
        <v/>
      </c>
      <c r="E164" s="149"/>
      <c r="F164" s="144" t="str">
        <f t="shared" si="25"/>
        <v/>
      </c>
      <c r="G164" s="183"/>
      <c r="H164" s="144" t="str">
        <f t="shared" si="26"/>
        <v/>
      </c>
      <c r="I164" s="182"/>
      <c r="J164" s="182"/>
      <c r="K164" s="182"/>
      <c r="M164" s="139" t="str">
        <f t="shared" si="27"/>
        <v/>
      </c>
      <c r="N164" s="139" t="str">
        <f t="shared" si="28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4"/>
        <v/>
      </c>
      <c r="E165" s="149"/>
      <c r="F165" s="144" t="str">
        <f t="shared" si="25"/>
        <v/>
      </c>
      <c r="G165" s="183"/>
      <c r="H165" s="144" t="str">
        <f t="shared" si="26"/>
        <v/>
      </c>
      <c r="I165" s="182"/>
      <c r="J165" s="182"/>
      <c r="K165" s="182"/>
      <c r="M165" s="139" t="str">
        <f t="shared" si="27"/>
        <v/>
      </c>
      <c r="N165" s="139" t="str">
        <f t="shared" si="28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4"/>
        <v/>
      </c>
      <c r="E166" s="149"/>
      <c r="F166" s="144" t="str">
        <f t="shared" si="25"/>
        <v/>
      </c>
      <c r="G166" s="183"/>
      <c r="H166" s="144" t="str">
        <f t="shared" si="26"/>
        <v/>
      </c>
      <c r="I166" s="182"/>
      <c r="J166" s="182"/>
      <c r="K166" s="182"/>
      <c r="M166" s="139" t="str">
        <f t="shared" si="27"/>
        <v/>
      </c>
      <c r="N166" s="139" t="str">
        <f t="shared" si="28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4"/>
        <v/>
      </c>
      <c r="E167" s="149"/>
      <c r="F167" s="144" t="str">
        <f t="shared" si="25"/>
        <v/>
      </c>
      <c r="G167" s="183"/>
      <c r="H167" s="144" t="str">
        <f t="shared" si="26"/>
        <v/>
      </c>
      <c r="I167" s="182"/>
      <c r="J167" s="182"/>
      <c r="K167" s="182"/>
      <c r="M167" s="139" t="str">
        <f t="shared" si="27"/>
        <v/>
      </c>
      <c r="N167" s="139" t="str">
        <f t="shared" si="28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4"/>
        <v/>
      </c>
      <c r="E168" s="149"/>
      <c r="F168" s="144" t="str">
        <f t="shared" si="25"/>
        <v/>
      </c>
      <c r="G168" s="183"/>
      <c r="H168" s="144" t="str">
        <f t="shared" si="26"/>
        <v/>
      </c>
      <c r="I168" s="182"/>
      <c r="J168" s="182"/>
      <c r="K168" s="182"/>
      <c r="M168" s="139" t="str">
        <f t="shared" si="27"/>
        <v/>
      </c>
      <c r="N168" s="139" t="str">
        <f t="shared" si="28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4"/>
        <v/>
      </c>
      <c r="E169" s="149"/>
      <c r="F169" s="144" t="str">
        <f t="shared" si="25"/>
        <v/>
      </c>
      <c r="G169" s="183"/>
      <c r="H169" s="144" t="str">
        <f t="shared" si="26"/>
        <v/>
      </c>
      <c r="I169" s="182"/>
      <c r="J169" s="182"/>
      <c r="K169" s="182"/>
      <c r="M169" s="139" t="str">
        <f t="shared" si="27"/>
        <v/>
      </c>
      <c r="N169" s="139" t="str">
        <f t="shared" si="28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4"/>
        <v/>
      </c>
      <c r="E170" s="149"/>
      <c r="F170" s="144" t="str">
        <f t="shared" si="25"/>
        <v/>
      </c>
      <c r="G170" s="183"/>
      <c r="H170" s="144" t="str">
        <f t="shared" si="26"/>
        <v/>
      </c>
      <c r="I170" s="182"/>
      <c r="J170" s="182"/>
      <c r="K170" s="182"/>
      <c r="M170" s="139" t="str">
        <f t="shared" si="27"/>
        <v/>
      </c>
      <c r="N170" s="139" t="str">
        <f t="shared" si="28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4"/>
        <v/>
      </c>
      <c r="E171" s="149"/>
      <c r="F171" s="144" t="str">
        <f t="shared" si="25"/>
        <v/>
      </c>
      <c r="G171" s="183"/>
      <c r="H171" s="144" t="str">
        <f t="shared" si="26"/>
        <v/>
      </c>
      <c r="I171" s="182"/>
      <c r="J171" s="182"/>
      <c r="K171" s="182"/>
      <c r="M171" s="139" t="str">
        <f t="shared" si="27"/>
        <v/>
      </c>
      <c r="N171" s="139" t="str">
        <f t="shared" si="28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4"/>
        <v/>
      </c>
      <c r="E172" s="149"/>
      <c r="F172" s="144" t="str">
        <f t="shared" si="25"/>
        <v/>
      </c>
      <c r="G172" s="183"/>
      <c r="H172" s="144" t="str">
        <f t="shared" si="26"/>
        <v/>
      </c>
      <c r="I172" s="182"/>
      <c r="J172" s="182"/>
      <c r="K172" s="182"/>
      <c r="M172" s="139" t="str">
        <f t="shared" si="27"/>
        <v/>
      </c>
      <c r="N172" s="139" t="str">
        <f t="shared" si="28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4"/>
        <v/>
      </c>
      <c r="E173" s="149"/>
      <c r="F173" s="144" t="str">
        <f t="shared" si="25"/>
        <v/>
      </c>
      <c r="G173" s="183"/>
      <c r="H173" s="144" t="str">
        <f t="shared" si="26"/>
        <v/>
      </c>
      <c r="I173" s="182"/>
      <c r="J173" s="182"/>
      <c r="K173" s="182"/>
      <c r="M173" s="139" t="str">
        <f t="shared" si="27"/>
        <v/>
      </c>
      <c r="N173" s="139" t="str">
        <f t="shared" si="28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4"/>
        <v/>
      </c>
      <c r="E174" s="149"/>
      <c r="F174" s="144" t="str">
        <f t="shared" si="25"/>
        <v/>
      </c>
      <c r="G174" s="183"/>
      <c r="H174" s="144" t="str">
        <f t="shared" si="26"/>
        <v/>
      </c>
      <c r="I174" s="182"/>
      <c r="J174" s="182"/>
      <c r="K174" s="182"/>
      <c r="M174" s="139" t="str">
        <f t="shared" si="27"/>
        <v/>
      </c>
      <c r="N174" s="139" t="str">
        <f t="shared" si="28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4"/>
        <v/>
      </c>
      <c r="E175" s="149"/>
      <c r="F175" s="144" t="str">
        <f t="shared" si="25"/>
        <v/>
      </c>
      <c r="G175" s="183"/>
      <c r="H175" s="144" t="str">
        <f t="shared" si="26"/>
        <v/>
      </c>
      <c r="I175" s="182"/>
      <c r="J175" s="182"/>
      <c r="K175" s="182"/>
      <c r="M175" s="139" t="str">
        <f t="shared" si="27"/>
        <v/>
      </c>
      <c r="N175" s="139" t="str">
        <f t="shared" si="28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4"/>
        <v/>
      </c>
      <c r="E176" s="149"/>
      <c r="F176" s="144" t="str">
        <f t="shared" si="25"/>
        <v/>
      </c>
      <c r="G176" s="183"/>
      <c r="H176" s="144" t="str">
        <f t="shared" si="26"/>
        <v/>
      </c>
      <c r="I176" s="182"/>
      <c r="J176" s="182"/>
      <c r="K176" s="182"/>
      <c r="M176" s="139" t="str">
        <f t="shared" si="27"/>
        <v/>
      </c>
      <c r="N176" s="139" t="str">
        <f t="shared" si="28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4"/>
        <v/>
      </c>
      <c r="E177" s="149"/>
      <c r="F177" s="144" t="str">
        <f t="shared" si="25"/>
        <v/>
      </c>
      <c r="G177" s="183"/>
      <c r="H177" s="144" t="str">
        <f t="shared" si="26"/>
        <v/>
      </c>
      <c r="I177" s="182"/>
      <c r="J177" s="182"/>
      <c r="K177" s="182"/>
      <c r="M177" s="139" t="str">
        <f t="shared" si="27"/>
        <v/>
      </c>
      <c r="N177" s="139" t="str">
        <f t="shared" si="28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4"/>
        <v/>
      </c>
      <c r="E178" s="149"/>
      <c r="F178" s="144" t="str">
        <f t="shared" si="25"/>
        <v/>
      </c>
      <c r="G178" s="183"/>
      <c r="H178" s="144" t="str">
        <f t="shared" si="26"/>
        <v/>
      </c>
      <c r="I178" s="182"/>
      <c r="J178" s="182"/>
      <c r="K178" s="182"/>
      <c r="M178" s="139" t="str">
        <f t="shared" si="27"/>
        <v/>
      </c>
      <c r="N178" s="139" t="str">
        <f t="shared" si="28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4"/>
        <v/>
      </c>
      <c r="E179" s="149"/>
      <c r="F179" s="144" t="str">
        <f t="shared" si="25"/>
        <v/>
      </c>
      <c r="G179" s="183"/>
      <c r="H179" s="144" t="str">
        <f t="shared" si="26"/>
        <v/>
      </c>
      <c r="I179" s="182"/>
      <c r="J179" s="182"/>
      <c r="K179" s="182"/>
      <c r="M179" s="139" t="str">
        <f t="shared" si="27"/>
        <v/>
      </c>
      <c r="N179" s="139" t="str">
        <f t="shared" si="28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4"/>
        <v/>
      </c>
      <c r="E180" s="149"/>
      <c r="F180" s="144" t="str">
        <f t="shared" si="25"/>
        <v/>
      </c>
      <c r="G180" s="183"/>
      <c r="H180" s="144" t="str">
        <f t="shared" si="26"/>
        <v/>
      </c>
      <c r="I180" s="182"/>
      <c r="J180" s="182"/>
      <c r="K180" s="182"/>
      <c r="M180" s="139" t="str">
        <f t="shared" si="27"/>
        <v/>
      </c>
      <c r="N180" s="139" t="str">
        <f t="shared" si="28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4"/>
        <v/>
      </c>
      <c r="E181" s="149"/>
      <c r="F181" s="144" t="str">
        <f t="shared" si="25"/>
        <v/>
      </c>
      <c r="G181" s="183"/>
      <c r="H181" s="144" t="str">
        <f t="shared" si="26"/>
        <v/>
      </c>
      <c r="I181" s="182"/>
      <c r="J181" s="182"/>
      <c r="K181" s="182"/>
      <c r="M181" s="139" t="str">
        <f t="shared" si="27"/>
        <v/>
      </c>
      <c r="N181" s="139" t="str">
        <f t="shared" si="28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4"/>
        <v/>
      </c>
      <c r="E182" s="149"/>
      <c r="F182" s="144" t="str">
        <f t="shared" si="25"/>
        <v/>
      </c>
      <c r="G182" s="183"/>
      <c r="H182" s="144" t="str">
        <f t="shared" si="26"/>
        <v/>
      </c>
      <c r="I182" s="182"/>
      <c r="J182" s="182"/>
      <c r="K182" s="182"/>
      <c r="M182" s="139" t="str">
        <f t="shared" si="27"/>
        <v/>
      </c>
      <c r="N182" s="139" t="str">
        <f t="shared" si="28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4"/>
        <v/>
      </c>
      <c r="E183" s="149"/>
      <c r="F183" s="144" t="str">
        <f t="shared" si="25"/>
        <v/>
      </c>
      <c r="G183" s="183"/>
      <c r="H183" s="144" t="str">
        <f t="shared" si="26"/>
        <v/>
      </c>
      <c r="I183" s="182"/>
      <c r="J183" s="182"/>
      <c r="K183" s="182"/>
      <c r="M183" s="139" t="str">
        <f t="shared" si="27"/>
        <v/>
      </c>
      <c r="N183" s="139" t="str">
        <f t="shared" si="28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4"/>
        <v/>
      </c>
      <c r="E184" s="149"/>
      <c r="F184" s="144" t="str">
        <f t="shared" si="25"/>
        <v/>
      </c>
      <c r="G184" s="183"/>
      <c r="H184" s="144" t="str">
        <f t="shared" si="26"/>
        <v/>
      </c>
      <c r="I184" s="182"/>
      <c r="J184" s="182"/>
      <c r="K184" s="182"/>
      <c r="M184" s="139" t="str">
        <f t="shared" si="27"/>
        <v/>
      </c>
      <c r="N184" s="139" t="str">
        <f t="shared" si="28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4"/>
        <v/>
      </c>
      <c r="E185" s="149"/>
      <c r="F185" s="144" t="str">
        <f t="shared" si="25"/>
        <v/>
      </c>
      <c r="G185" s="183"/>
      <c r="H185" s="144" t="str">
        <f t="shared" si="26"/>
        <v/>
      </c>
      <c r="I185" s="182"/>
      <c r="J185" s="182"/>
      <c r="K185" s="182"/>
      <c r="M185" s="139" t="str">
        <f t="shared" si="27"/>
        <v/>
      </c>
      <c r="N185" s="139" t="str">
        <f t="shared" si="28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4"/>
        <v/>
      </c>
      <c r="E186" s="149"/>
      <c r="F186" s="144" t="str">
        <f t="shared" si="25"/>
        <v/>
      </c>
      <c r="G186" s="183"/>
      <c r="H186" s="144" t="str">
        <f t="shared" si="26"/>
        <v/>
      </c>
      <c r="I186" s="182"/>
      <c r="J186" s="182"/>
      <c r="K186" s="182"/>
      <c r="M186" s="139" t="str">
        <f t="shared" si="27"/>
        <v/>
      </c>
      <c r="N186" s="139" t="str">
        <f t="shared" si="28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4"/>
        <v/>
      </c>
      <c r="E187" s="149"/>
      <c r="F187" s="144" t="str">
        <f t="shared" si="25"/>
        <v/>
      </c>
      <c r="G187" s="183"/>
      <c r="H187" s="144" t="str">
        <f t="shared" si="26"/>
        <v/>
      </c>
      <c r="I187" s="182"/>
      <c r="J187" s="182"/>
      <c r="K187" s="182"/>
      <c r="M187" s="139" t="str">
        <f t="shared" si="27"/>
        <v/>
      </c>
      <c r="N187" s="139" t="str">
        <f t="shared" si="28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4"/>
        <v/>
      </c>
      <c r="E188" s="149"/>
      <c r="F188" s="144" t="str">
        <f t="shared" si="25"/>
        <v/>
      </c>
      <c r="G188" s="183"/>
      <c r="H188" s="144" t="str">
        <f t="shared" si="26"/>
        <v/>
      </c>
      <c r="I188" s="182"/>
      <c r="J188" s="182"/>
      <c r="K188" s="182"/>
      <c r="M188" s="139" t="str">
        <f t="shared" si="27"/>
        <v/>
      </c>
      <c r="N188" s="139" t="str">
        <f t="shared" si="28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4"/>
        <v/>
      </c>
      <c r="E189" s="149"/>
      <c r="F189" s="144" t="str">
        <f t="shared" si="25"/>
        <v/>
      </c>
      <c r="G189" s="183"/>
      <c r="H189" s="144" t="str">
        <f t="shared" si="26"/>
        <v/>
      </c>
      <c r="I189" s="182"/>
      <c r="J189" s="182"/>
      <c r="K189" s="182"/>
      <c r="M189" s="139" t="str">
        <f t="shared" si="27"/>
        <v/>
      </c>
      <c r="N189" s="139" t="str">
        <f t="shared" si="28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4"/>
        <v/>
      </c>
      <c r="E190" s="149"/>
      <c r="F190" s="144" t="str">
        <f t="shared" si="25"/>
        <v/>
      </c>
      <c r="G190" s="183"/>
      <c r="H190" s="144" t="str">
        <f t="shared" si="26"/>
        <v/>
      </c>
      <c r="I190" s="182"/>
      <c r="J190" s="182"/>
      <c r="K190" s="182"/>
      <c r="M190" s="139" t="str">
        <f t="shared" si="27"/>
        <v/>
      </c>
      <c r="N190" s="139" t="str">
        <f t="shared" si="28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4"/>
        <v/>
      </c>
      <c r="E191" s="149"/>
      <c r="F191" s="144" t="str">
        <f t="shared" si="25"/>
        <v/>
      </c>
      <c r="G191" s="183"/>
      <c r="H191" s="144" t="str">
        <f t="shared" si="26"/>
        <v/>
      </c>
      <c r="I191" s="182"/>
      <c r="J191" s="182"/>
      <c r="K191" s="182"/>
      <c r="M191" s="139" t="str">
        <f t="shared" si="27"/>
        <v/>
      </c>
      <c r="N191" s="139" t="str">
        <f t="shared" si="28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4"/>
        <v/>
      </c>
      <c r="E192" s="149"/>
      <c r="F192" s="144" t="str">
        <f t="shared" si="25"/>
        <v/>
      </c>
      <c r="G192" s="183"/>
      <c r="H192" s="144" t="str">
        <f t="shared" si="26"/>
        <v/>
      </c>
      <c r="I192" s="182"/>
      <c r="J192" s="182"/>
      <c r="K192" s="182"/>
      <c r="M192" s="139" t="str">
        <f t="shared" si="27"/>
        <v/>
      </c>
      <c r="N192" s="139" t="str">
        <f t="shared" si="28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4"/>
        <v/>
      </c>
      <c r="E193" s="149"/>
      <c r="F193" s="144" t="str">
        <f t="shared" si="25"/>
        <v/>
      </c>
      <c r="G193" s="183"/>
      <c r="H193" s="144" t="str">
        <f t="shared" si="26"/>
        <v/>
      </c>
      <c r="I193" s="182"/>
      <c r="J193" s="182"/>
      <c r="K193" s="182"/>
      <c r="M193" s="139" t="str">
        <f t="shared" si="27"/>
        <v/>
      </c>
      <c r="N193" s="139" t="str">
        <f t="shared" si="28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4"/>
        <v/>
      </c>
      <c r="E194" s="149"/>
      <c r="F194" s="144" t="str">
        <f t="shared" si="25"/>
        <v/>
      </c>
      <c r="G194" s="183"/>
      <c r="H194" s="144" t="str">
        <f t="shared" si="26"/>
        <v/>
      </c>
      <c r="I194" s="182"/>
      <c r="J194" s="182"/>
      <c r="K194" s="182"/>
      <c r="M194" s="139" t="str">
        <f t="shared" si="27"/>
        <v/>
      </c>
      <c r="N194" s="139" t="str">
        <f t="shared" si="28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ref="D195:D258" si="29">IFERROR(VLOOKUP(C195,$O$6:$P$23,2,FALSE),"")</f>
        <v/>
      </c>
      <c r="E195" s="149"/>
      <c r="F195" s="144" t="str">
        <f t="shared" ref="F195:F258" si="30">IFERROR(VLOOKUP(E195,$R$5:$T$129,2,FALSE),"")</f>
        <v/>
      </c>
      <c r="G195" s="183"/>
      <c r="H195" s="144" t="str">
        <f t="shared" si="26"/>
        <v/>
      </c>
      <c r="I195" s="182"/>
      <c r="J195" s="182"/>
      <c r="K195" s="182"/>
      <c r="M195" s="139" t="str">
        <f t="shared" si="27"/>
        <v/>
      </c>
      <c r="N195" s="139" t="str">
        <f t="shared" si="28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si="29"/>
        <v/>
      </c>
      <c r="E196" s="149"/>
      <c r="F196" s="144" t="str">
        <f t="shared" si="30"/>
        <v/>
      </c>
      <c r="G196" s="183"/>
      <c r="H196" s="144" t="str">
        <f t="shared" ref="H196:H259" si="31">IFERROR(VLOOKUP(G196,$X$6:$Y$297,2,FALSE),"")</f>
        <v/>
      </c>
      <c r="I196" s="182"/>
      <c r="J196" s="182"/>
      <c r="K196" s="182"/>
      <c r="M196" s="139" t="str">
        <f t="shared" ref="M196:M259" si="32">LEFT(E196,3)</f>
        <v/>
      </c>
      <c r="N196" s="139" t="str">
        <f t="shared" ref="N196:N259" si="33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9"/>
        <v/>
      </c>
      <c r="E197" s="149"/>
      <c r="F197" s="144" t="str">
        <f t="shared" si="30"/>
        <v/>
      </c>
      <c r="G197" s="183"/>
      <c r="H197" s="144" t="str">
        <f t="shared" si="31"/>
        <v/>
      </c>
      <c r="I197" s="182"/>
      <c r="J197" s="182"/>
      <c r="K197" s="182"/>
      <c r="M197" s="139" t="str">
        <f t="shared" si="32"/>
        <v/>
      </c>
      <c r="N197" s="139" t="str">
        <f t="shared" si="33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9"/>
        <v/>
      </c>
      <c r="E198" s="149"/>
      <c r="F198" s="144" t="str">
        <f t="shared" si="30"/>
        <v/>
      </c>
      <c r="G198" s="183"/>
      <c r="H198" s="144" t="str">
        <f t="shared" si="31"/>
        <v/>
      </c>
      <c r="I198" s="182"/>
      <c r="J198" s="182"/>
      <c r="K198" s="182"/>
      <c r="M198" s="139" t="str">
        <f t="shared" si="32"/>
        <v/>
      </c>
      <c r="N198" s="139" t="str">
        <f t="shared" si="33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9"/>
        <v/>
      </c>
      <c r="E199" s="149"/>
      <c r="F199" s="144" t="str">
        <f t="shared" si="30"/>
        <v/>
      </c>
      <c r="G199" s="183"/>
      <c r="H199" s="144" t="str">
        <f t="shared" si="31"/>
        <v/>
      </c>
      <c r="I199" s="182"/>
      <c r="J199" s="182"/>
      <c r="K199" s="182"/>
      <c r="M199" s="139" t="str">
        <f t="shared" si="32"/>
        <v/>
      </c>
      <c r="N199" s="139" t="str">
        <f t="shared" si="33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9"/>
        <v/>
      </c>
      <c r="E200" s="149"/>
      <c r="F200" s="144" t="str">
        <f t="shared" si="30"/>
        <v/>
      </c>
      <c r="G200" s="183"/>
      <c r="H200" s="144" t="str">
        <f t="shared" si="31"/>
        <v/>
      </c>
      <c r="I200" s="182"/>
      <c r="J200" s="182"/>
      <c r="K200" s="182"/>
      <c r="M200" s="139" t="str">
        <f t="shared" si="32"/>
        <v/>
      </c>
      <c r="N200" s="139" t="str">
        <f t="shared" si="33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9"/>
        <v/>
      </c>
      <c r="E201" s="149"/>
      <c r="F201" s="144" t="str">
        <f t="shared" si="30"/>
        <v/>
      </c>
      <c r="G201" s="183"/>
      <c r="H201" s="144" t="str">
        <f t="shared" si="31"/>
        <v/>
      </c>
      <c r="I201" s="182"/>
      <c r="J201" s="182"/>
      <c r="K201" s="182"/>
      <c r="M201" s="139" t="str">
        <f t="shared" si="32"/>
        <v/>
      </c>
      <c r="N201" s="139" t="str">
        <f t="shared" si="33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9"/>
        <v/>
      </c>
      <c r="E202" s="149"/>
      <c r="F202" s="144" t="str">
        <f t="shared" si="30"/>
        <v/>
      </c>
      <c r="G202" s="183"/>
      <c r="H202" s="144" t="str">
        <f t="shared" si="31"/>
        <v/>
      </c>
      <c r="I202" s="182"/>
      <c r="J202" s="182"/>
      <c r="K202" s="182"/>
      <c r="M202" s="139" t="str">
        <f t="shared" si="32"/>
        <v/>
      </c>
      <c r="N202" s="139" t="str">
        <f t="shared" si="33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9"/>
        <v/>
      </c>
      <c r="E203" s="149"/>
      <c r="F203" s="144" t="str">
        <f t="shared" si="30"/>
        <v/>
      </c>
      <c r="G203" s="183"/>
      <c r="H203" s="144" t="str">
        <f t="shared" si="31"/>
        <v/>
      </c>
      <c r="I203" s="182"/>
      <c r="J203" s="182"/>
      <c r="K203" s="182"/>
      <c r="M203" s="139" t="str">
        <f t="shared" si="32"/>
        <v/>
      </c>
      <c r="N203" s="139" t="str">
        <f t="shared" si="33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9"/>
        <v/>
      </c>
      <c r="E204" s="149"/>
      <c r="F204" s="144" t="str">
        <f t="shared" si="30"/>
        <v/>
      </c>
      <c r="G204" s="183"/>
      <c r="H204" s="144" t="str">
        <f t="shared" si="31"/>
        <v/>
      </c>
      <c r="I204" s="182"/>
      <c r="J204" s="182"/>
      <c r="K204" s="182"/>
      <c r="M204" s="139" t="str">
        <f t="shared" si="32"/>
        <v/>
      </c>
      <c r="N204" s="139" t="str">
        <f t="shared" si="33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9"/>
        <v/>
      </c>
      <c r="E205" s="149"/>
      <c r="F205" s="144" t="str">
        <f t="shared" si="30"/>
        <v/>
      </c>
      <c r="G205" s="183"/>
      <c r="H205" s="144" t="str">
        <f t="shared" si="31"/>
        <v/>
      </c>
      <c r="I205" s="182"/>
      <c r="J205" s="182"/>
      <c r="K205" s="182"/>
      <c r="M205" s="139" t="str">
        <f t="shared" si="32"/>
        <v/>
      </c>
      <c r="N205" s="139" t="str">
        <f t="shared" si="33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9"/>
        <v/>
      </c>
      <c r="E206" s="149"/>
      <c r="F206" s="144" t="str">
        <f t="shared" si="30"/>
        <v/>
      </c>
      <c r="G206" s="183"/>
      <c r="H206" s="144" t="str">
        <f t="shared" si="31"/>
        <v/>
      </c>
      <c r="I206" s="182"/>
      <c r="J206" s="182"/>
      <c r="K206" s="182"/>
      <c r="M206" s="139" t="str">
        <f t="shared" si="32"/>
        <v/>
      </c>
      <c r="N206" s="139" t="str">
        <f t="shared" si="33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9"/>
        <v/>
      </c>
      <c r="E207" s="149"/>
      <c r="F207" s="144" t="str">
        <f t="shared" si="30"/>
        <v/>
      </c>
      <c r="G207" s="183"/>
      <c r="H207" s="144" t="str">
        <f t="shared" si="31"/>
        <v/>
      </c>
      <c r="I207" s="182"/>
      <c r="J207" s="182"/>
      <c r="K207" s="182"/>
      <c r="M207" s="139" t="str">
        <f t="shared" si="32"/>
        <v/>
      </c>
      <c r="N207" s="139" t="str">
        <f t="shared" si="33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9"/>
        <v/>
      </c>
      <c r="E208" s="149"/>
      <c r="F208" s="144" t="str">
        <f t="shared" si="30"/>
        <v/>
      </c>
      <c r="G208" s="183"/>
      <c r="H208" s="144" t="str">
        <f t="shared" si="31"/>
        <v/>
      </c>
      <c r="I208" s="182"/>
      <c r="J208" s="182"/>
      <c r="K208" s="182"/>
      <c r="M208" s="139" t="str">
        <f t="shared" si="32"/>
        <v/>
      </c>
      <c r="N208" s="139" t="str">
        <f t="shared" si="33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9"/>
        <v/>
      </c>
      <c r="E209" s="149"/>
      <c r="F209" s="144" t="str">
        <f t="shared" si="30"/>
        <v/>
      </c>
      <c r="G209" s="183"/>
      <c r="H209" s="144" t="str">
        <f t="shared" si="31"/>
        <v/>
      </c>
      <c r="I209" s="182"/>
      <c r="J209" s="182"/>
      <c r="K209" s="182"/>
      <c r="M209" s="139" t="str">
        <f t="shared" si="32"/>
        <v/>
      </c>
      <c r="N209" s="139" t="str">
        <f t="shared" si="33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9"/>
        <v/>
      </c>
      <c r="E210" s="149"/>
      <c r="F210" s="144" t="str">
        <f t="shared" si="30"/>
        <v/>
      </c>
      <c r="G210" s="183"/>
      <c r="H210" s="144" t="str">
        <f t="shared" si="31"/>
        <v/>
      </c>
      <c r="I210" s="182"/>
      <c r="J210" s="182"/>
      <c r="K210" s="182"/>
      <c r="M210" s="139" t="str">
        <f t="shared" si="32"/>
        <v/>
      </c>
      <c r="N210" s="139" t="str">
        <f t="shared" si="33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9"/>
        <v/>
      </c>
      <c r="E211" s="149"/>
      <c r="F211" s="144" t="str">
        <f t="shared" si="30"/>
        <v/>
      </c>
      <c r="G211" s="183"/>
      <c r="H211" s="144" t="str">
        <f t="shared" si="31"/>
        <v/>
      </c>
      <c r="I211" s="182"/>
      <c r="J211" s="182"/>
      <c r="K211" s="182"/>
      <c r="M211" s="139" t="str">
        <f t="shared" si="32"/>
        <v/>
      </c>
      <c r="N211" s="139" t="str">
        <f t="shared" si="33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9"/>
        <v/>
      </c>
      <c r="E212" s="149"/>
      <c r="F212" s="144" t="str">
        <f t="shared" si="30"/>
        <v/>
      </c>
      <c r="G212" s="183"/>
      <c r="H212" s="144" t="str">
        <f t="shared" si="31"/>
        <v/>
      </c>
      <c r="I212" s="182"/>
      <c r="J212" s="182"/>
      <c r="K212" s="182"/>
      <c r="M212" s="139" t="str">
        <f t="shared" si="32"/>
        <v/>
      </c>
      <c r="N212" s="139" t="str">
        <f t="shared" si="33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9"/>
        <v/>
      </c>
      <c r="E213" s="149"/>
      <c r="F213" s="144" t="str">
        <f t="shared" si="30"/>
        <v/>
      </c>
      <c r="G213" s="183"/>
      <c r="H213" s="144" t="str">
        <f t="shared" si="31"/>
        <v/>
      </c>
      <c r="I213" s="182"/>
      <c r="J213" s="182"/>
      <c r="K213" s="182"/>
      <c r="M213" s="139" t="str">
        <f t="shared" si="32"/>
        <v/>
      </c>
      <c r="N213" s="139" t="str">
        <f t="shared" si="33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9"/>
        <v/>
      </c>
      <c r="E214" s="149"/>
      <c r="F214" s="144" t="str">
        <f t="shared" si="30"/>
        <v/>
      </c>
      <c r="G214" s="183"/>
      <c r="H214" s="144" t="str">
        <f t="shared" si="31"/>
        <v/>
      </c>
      <c r="I214" s="182"/>
      <c r="J214" s="182"/>
      <c r="K214" s="182"/>
      <c r="M214" s="139" t="str">
        <f t="shared" si="32"/>
        <v/>
      </c>
      <c r="N214" s="139" t="str">
        <f t="shared" si="33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9"/>
        <v/>
      </c>
      <c r="E215" s="149"/>
      <c r="F215" s="144" t="str">
        <f t="shared" si="30"/>
        <v/>
      </c>
      <c r="G215" s="183"/>
      <c r="H215" s="144" t="str">
        <f t="shared" si="31"/>
        <v/>
      </c>
      <c r="I215" s="182"/>
      <c r="J215" s="182"/>
      <c r="K215" s="182"/>
      <c r="M215" s="139" t="str">
        <f t="shared" si="32"/>
        <v/>
      </c>
      <c r="N215" s="139" t="str">
        <f t="shared" si="33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9"/>
        <v/>
      </c>
      <c r="E216" s="149"/>
      <c r="F216" s="144" t="str">
        <f t="shared" si="30"/>
        <v/>
      </c>
      <c r="G216" s="183"/>
      <c r="H216" s="144" t="str">
        <f t="shared" si="31"/>
        <v/>
      </c>
      <c r="I216" s="182"/>
      <c r="J216" s="182"/>
      <c r="K216" s="182"/>
      <c r="M216" s="139" t="str">
        <f t="shared" si="32"/>
        <v/>
      </c>
      <c r="N216" s="139" t="str">
        <f t="shared" si="33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9"/>
        <v/>
      </c>
      <c r="E217" s="149"/>
      <c r="F217" s="144" t="str">
        <f t="shared" si="30"/>
        <v/>
      </c>
      <c r="G217" s="183"/>
      <c r="H217" s="144" t="str">
        <f t="shared" si="31"/>
        <v/>
      </c>
      <c r="I217" s="182"/>
      <c r="J217" s="182"/>
      <c r="K217" s="182"/>
      <c r="M217" s="139" t="str">
        <f t="shared" si="32"/>
        <v/>
      </c>
      <c r="N217" s="139" t="str">
        <f t="shared" si="33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9"/>
        <v/>
      </c>
      <c r="E218" s="149"/>
      <c r="F218" s="144" t="str">
        <f t="shared" si="30"/>
        <v/>
      </c>
      <c r="G218" s="183"/>
      <c r="H218" s="144" t="str">
        <f t="shared" si="31"/>
        <v/>
      </c>
      <c r="I218" s="182"/>
      <c r="J218" s="182"/>
      <c r="K218" s="182"/>
      <c r="M218" s="139" t="str">
        <f t="shared" si="32"/>
        <v/>
      </c>
      <c r="N218" s="139" t="str">
        <f t="shared" si="33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9"/>
        <v/>
      </c>
      <c r="E219" s="149"/>
      <c r="F219" s="144" t="str">
        <f t="shared" si="30"/>
        <v/>
      </c>
      <c r="G219" s="183"/>
      <c r="H219" s="144" t="str">
        <f t="shared" si="31"/>
        <v/>
      </c>
      <c r="I219" s="182"/>
      <c r="J219" s="182"/>
      <c r="K219" s="182"/>
      <c r="M219" s="139" t="str">
        <f t="shared" si="32"/>
        <v/>
      </c>
      <c r="N219" s="139" t="str">
        <f t="shared" si="33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9"/>
        <v/>
      </c>
      <c r="E220" s="149"/>
      <c r="F220" s="144" t="str">
        <f t="shared" si="30"/>
        <v/>
      </c>
      <c r="G220" s="183"/>
      <c r="H220" s="144" t="str">
        <f t="shared" si="31"/>
        <v/>
      </c>
      <c r="I220" s="182"/>
      <c r="J220" s="182"/>
      <c r="K220" s="182"/>
      <c r="M220" s="139" t="str">
        <f t="shared" si="32"/>
        <v/>
      </c>
      <c r="N220" s="139" t="str">
        <f t="shared" si="33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9"/>
        <v/>
      </c>
      <c r="E221" s="149"/>
      <c r="F221" s="144" t="str">
        <f t="shared" si="30"/>
        <v/>
      </c>
      <c r="G221" s="183"/>
      <c r="H221" s="144" t="str">
        <f t="shared" si="31"/>
        <v/>
      </c>
      <c r="I221" s="182"/>
      <c r="J221" s="182"/>
      <c r="K221" s="182"/>
      <c r="M221" s="139" t="str">
        <f t="shared" si="32"/>
        <v/>
      </c>
      <c r="N221" s="139" t="str">
        <f t="shared" si="33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9"/>
        <v/>
      </c>
      <c r="E222" s="149"/>
      <c r="F222" s="144" t="str">
        <f t="shared" si="30"/>
        <v/>
      </c>
      <c r="G222" s="183"/>
      <c r="H222" s="144" t="str">
        <f t="shared" si="31"/>
        <v/>
      </c>
      <c r="I222" s="182"/>
      <c r="J222" s="182"/>
      <c r="K222" s="182"/>
      <c r="M222" s="139" t="str">
        <f t="shared" si="32"/>
        <v/>
      </c>
      <c r="N222" s="139" t="str">
        <f t="shared" si="33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9"/>
        <v/>
      </c>
      <c r="E223" s="149"/>
      <c r="F223" s="144" t="str">
        <f t="shared" si="30"/>
        <v/>
      </c>
      <c r="G223" s="183"/>
      <c r="H223" s="144" t="str">
        <f t="shared" si="31"/>
        <v/>
      </c>
      <c r="I223" s="182"/>
      <c r="J223" s="182"/>
      <c r="K223" s="182"/>
      <c r="M223" s="139" t="str">
        <f t="shared" si="32"/>
        <v/>
      </c>
      <c r="N223" s="139" t="str">
        <f t="shared" si="33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9"/>
        <v/>
      </c>
      <c r="E224" s="149"/>
      <c r="F224" s="144" t="str">
        <f t="shared" si="30"/>
        <v/>
      </c>
      <c r="G224" s="183"/>
      <c r="H224" s="144" t="str">
        <f t="shared" si="31"/>
        <v/>
      </c>
      <c r="I224" s="182"/>
      <c r="J224" s="182"/>
      <c r="K224" s="182"/>
      <c r="M224" s="139" t="str">
        <f t="shared" si="32"/>
        <v/>
      </c>
      <c r="N224" s="139" t="str">
        <f t="shared" si="33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9"/>
        <v/>
      </c>
      <c r="E225" s="149"/>
      <c r="F225" s="144" t="str">
        <f t="shared" si="30"/>
        <v/>
      </c>
      <c r="G225" s="183"/>
      <c r="H225" s="144" t="str">
        <f t="shared" si="31"/>
        <v/>
      </c>
      <c r="I225" s="182"/>
      <c r="J225" s="182"/>
      <c r="K225" s="182"/>
      <c r="M225" s="139" t="str">
        <f t="shared" si="32"/>
        <v/>
      </c>
      <c r="N225" s="139" t="str">
        <f t="shared" si="33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9"/>
        <v/>
      </c>
      <c r="E226" s="149"/>
      <c r="F226" s="144" t="str">
        <f t="shared" si="30"/>
        <v/>
      </c>
      <c r="G226" s="183"/>
      <c r="H226" s="144" t="str">
        <f t="shared" si="31"/>
        <v/>
      </c>
      <c r="I226" s="182"/>
      <c r="J226" s="182"/>
      <c r="K226" s="182"/>
      <c r="M226" s="139" t="str">
        <f t="shared" si="32"/>
        <v/>
      </c>
      <c r="N226" s="139" t="str">
        <f t="shared" si="33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9"/>
        <v/>
      </c>
      <c r="E227" s="149"/>
      <c r="F227" s="144" t="str">
        <f t="shared" si="30"/>
        <v/>
      </c>
      <c r="G227" s="183"/>
      <c r="H227" s="144" t="str">
        <f t="shared" si="31"/>
        <v/>
      </c>
      <c r="I227" s="182"/>
      <c r="J227" s="182"/>
      <c r="K227" s="182"/>
      <c r="M227" s="139" t="str">
        <f t="shared" si="32"/>
        <v/>
      </c>
      <c r="N227" s="139" t="str">
        <f t="shared" si="33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9"/>
        <v/>
      </c>
      <c r="E228" s="149"/>
      <c r="F228" s="144" t="str">
        <f t="shared" si="30"/>
        <v/>
      </c>
      <c r="G228" s="183"/>
      <c r="H228" s="144" t="str">
        <f t="shared" si="31"/>
        <v/>
      </c>
      <c r="I228" s="182"/>
      <c r="J228" s="182"/>
      <c r="K228" s="182"/>
      <c r="M228" s="139" t="str">
        <f t="shared" si="32"/>
        <v/>
      </c>
      <c r="N228" s="139" t="str">
        <f t="shared" si="33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9"/>
        <v/>
      </c>
      <c r="E229" s="149"/>
      <c r="F229" s="144" t="str">
        <f t="shared" si="30"/>
        <v/>
      </c>
      <c r="G229" s="183"/>
      <c r="H229" s="144" t="str">
        <f t="shared" si="31"/>
        <v/>
      </c>
      <c r="I229" s="182"/>
      <c r="J229" s="182"/>
      <c r="K229" s="182"/>
      <c r="M229" s="139" t="str">
        <f t="shared" si="32"/>
        <v/>
      </c>
      <c r="N229" s="139" t="str">
        <f t="shared" si="33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9"/>
        <v/>
      </c>
      <c r="E230" s="149"/>
      <c r="F230" s="144" t="str">
        <f t="shared" si="30"/>
        <v/>
      </c>
      <c r="G230" s="183"/>
      <c r="H230" s="144" t="str">
        <f t="shared" si="31"/>
        <v/>
      </c>
      <c r="I230" s="182"/>
      <c r="J230" s="182"/>
      <c r="K230" s="182"/>
      <c r="M230" s="139" t="str">
        <f t="shared" si="32"/>
        <v/>
      </c>
      <c r="N230" s="139" t="str">
        <f t="shared" si="33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9"/>
        <v/>
      </c>
      <c r="E231" s="149"/>
      <c r="F231" s="144" t="str">
        <f t="shared" si="30"/>
        <v/>
      </c>
      <c r="G231" s="183"/>
      <c r="H231" s="144" t="str">
        <f t="shared" si="31"/>
        <v/>
      </c>
      <c r="I231" s="182"/>
      <c r="J231" s="182"/>
      <c r="K231" s="182"/>
      <c r="M231" s="139" t="str">
        <f t="shared" si="32"/>
        <v/>
      </c>
      <c r="N231" s="139" t="str">
        <f t="shared" si="33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9"/>
        <v/>
      </c>
      <c r="E232" s="149"/>
      <c r="F232" s="144" t="str">
        <f t="shared" si="30"/>
        <v/>
      </c>
      <c r="G232" s="183"/>
      <c r="H232" s="144" t="str">
        <f t="shared" si="31"/>
        <v/>
      </c>
      <c r="I232" s="182"/>
      <c r="J232" s="182"/>
      <c r="K232" s="182"/>
      <c r="M232" s="139" t="str">
        <f t="shared" si="32"/>
        <v/>
      </c>
      <c r="N232" s="139" t="str">
        <f t="shared" si="33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9"/>
        <v/>
      </c>
      <c r="E233" s="149"/>
      <c r="F233" s="144" t="str">
        <f t="shared" si="30"/>
        <v/>
      </c>
      <c r="G233" s="183"/>
      <c r="H233" s="144" t="str">
        <f t="shared" si="31"/>
        <v/>
      </c>
      <c r="I233" s="182"/>
      <c r="J233" s="182"/>
      <c r="K233" s="182"/>
      <c r="M233" s="139" t="str">
        <f t="shared" si="32"/>
        <v/>
      </c>
      <c r="N233" s="139" t="str">
        <f t="shared" si="33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9"/>
        <v/>
      </c>
      <c r="E234" s="149"/>
      <c r="F234" s="144" t="str">
        <f t="shared" si="30"/>
        <v/>
      </c>
      <c r="G234" s="183"/>
      <c r="H234" s="144" t="str">
        <f t="shared" si="31"/>
        <v/>
      </c>
      <c r="I234" s="182"/>
      <c r="J234" s="182"/>
      <c r="K234" s="182"/>
      <c r="M234" s="139" t="str">
        <f t="shared" si="32"/>
        <v/>
      </c>
      <c r="N234" s="139" t="str">
        <f t="shared" si="33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9"/>
        <v/>
      </c>
      <c r="E235" s="149"/>
      <c r="F235" s="144" t="str">
        <f t="shared" si="30"/>
        <v/>
      </c>
      <c r="G235" s="183"/>
      <c r="H235" s="144" t="str">
        <f t="shared" si="31"/>
        <v/>
      </c>
      <c r="I235" s="182"/>
      <c r="J235" s="182"/>
      <c r="K235" s="182"/>
      <c r="M235" s="139" t="str">
        <f t="shared" si="32"/>
        <v/>
      </c>
      <c r="N235" s="139" t="str">
        <f t="shared" si="33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9"/>
        <v/>
      </c>
      <c r="E236" s="149"/>
      <c r="F236" s="144" t="str">
        <f t="shared" si="30"/>
        <v/>
      </c>
      <c r="G236" s="183"/>
      <c r="H236" s="144" t="str">
        <f t="shared" si="31"/>
        <v/>
      </c>
      <c r="I236" s="182"/>
      <c r="J236" s="182"/>
      <c r="K236" s="182"/>
      <c r="M236" s="139" t="str">
        <f t="shared" si="32"/>
        <v/>
      </c>
      <c r="N236" s="139" t="str">
        <f t="shared" si="33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9"/>
        <v/>
      </c>
      <c r="E237" s="149"/>
      <c r="F237" s="144" t="str">
        <f t="shared" si="30"/>
        <v/>
      </c>
      <c r="G237" s="183"/>
      <c r="H237" s="144" t="str">
        <f t="shared" si="31"/>
        <v/>
      </c>
      <c r="I237" s="182"/>
      <c r="J237" s="182"/>
      <c r="K237" s="182"/>
      <c r="M237" s="139" t="str">
        <f t="shared" si="32"/>
        <v/>
      </c>
      <c r="N237" s="139" t="str">
        <f t="shared" si="33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9"/>
        <v/>
      </c>
      <c r="E238" s="149"/>
      <c r="F238" s="144" t="str">
        <f t="shared" si="30"/>
        <v/>
      </c>
      <c r="G238" s="183"/>
      <c r="H238" s="144" t="str">
        <f t="shared" si="31"/>
        <v/>
      </c>
      <c r="I238" s="182"/>
      <c r="J238" s="182"/>
      <c r="K238" s="182"/>
      <c r="M238" s="139" t="str">
        <f t="shared" si="32"/>
        <v/>
      </c>
      <c r="N238" s="139" t="str">
        <f t="shared" si="33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9"/>
        <v/>
      </c>
      <c r="E239" s="149"/>
      <c r="F239" s="144" t="str">
        <f t="shared" si="30"/>
        <v/>
      </c>
      <c r="G239" s="183"/>
      <c r="H239" s="144" t="str">
        <f t="shared" si="31"/>
        <v/>
      </c>
      <c r="I239" s="182"/>
      <c r="J239" s="182"/>
      <c r="K239" s="182"/>
      <c r="M239" s="139" t="str">
        <f t="shared" si="32"/>
        <v/>
      </c>
      <c r="N239" s="139" t="str">
        <f t="shared" si="33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9"/>
        <v/>
      </c>
      <c r="E240" s="149"/>
      <c r="F240" s="144" t="str">
        <f t="shared" si="30"/>
        <v/>
      </c>
      <c r="G240" s="183"/>
      <c r="H240" s="144" t="str">
        <f t="shared" si="31"/>
        <v/>
      </c>
      <c r="I240" s="182"/>
      <c r="J240" s="182"/>
      <c r="K240" s="182"/>
      <c r="M240" s="139" t="str">
        <f t="shared" si="32"/>
        <v/>
      </c>
      <c r="N240" s="139" t="str">
        <f t="shared" si="33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9"/>
        <v/>
      </c>
      <c r="E241" s="149"/>
      <c r="F241" s="144" t="str">
        <f t="shared" si="30"/>
        <v/>
      </c>
      <c r="G241" s="183"/>
      <c r="H241" s="144" t="str">
        <f t="shared" si="31"/>
        <v/>
      </c>
      <c r="I241" s="182"/>
      <c r="J241" s="182"/>
      <c r="K241" s="182"/>
      <c r="M241" s="139" t="str">
        <f t="shared" si="32"/>
        <v/>
      </c>
      <c r="N241" s="139" t="str">
        <f t="shared" si="33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9"/>
        <v/>
      </c>
      <c r="E242" s="149"/>
      <c r="F242" s="144" t="str">
        <f t="shared" si="30"/>
        <v/>
      </c>
      <c r="G242" s="183"/>
      <c r="H242" s="144" t="str">
        <f t="shared" si="31"/>
        <v/>
      </c>
      <c r="I242" s="182"/>
      <c r="J242" s="182"/>
      <c r="K242" s="182"/>
      <c r="M242" s="139" t="str">
        <f t="shared" si="32"/>
        <v/>
      </c>
      <c r="N242" s="139" t="str">
        <f t="shared" si="33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9"/>
        <v/>
      </c>
      <c r="E243" s="149"/>
      <c r="F243" s="144" t="str">
        <f t="shared" si="30"/>
        <v/>
      </c>
      <c r="G243" s="183"/>
      <c r="H243" s="144" t="str">
        <f t="shared" si="31"/>
        <v/>
      </c>
      <c r="I243" s="182"/>
      <c r="J243" s="182"/>
      <c r="K243" s="182"/>
      <c r="M243" s="139" t="str">
        <f t="shared" si="32"/>
        <v/>
      </c>
      <c r="N243" s="139" t="str">
        <f t="shared" si="33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9"/>
        <v/>
      </c>
      <c r="E244" s="149"/>
      <c r="F244" s="144" t="str">
        <f t="shared" si="30"/>
        <v/>
      </c>
      <c r="G244" s="183"/>
      <c r="H244" s="144" t="str">
        <f t="shared" si="31"/>
        <v/>
      </c>
      <c r="I244" s="182"/>
      <c r="J244" s="182"/>
      <c r="K244" s="182"/>
      <c r="M244" s="139" t="str">
        <f t="shared" si="32"/>
        <v/>
      </c>
      <c r="N244" s="139" t="str">
        <f t="shared" si="33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9"/>
        <v/>
      </c>
      <c r="E245" s="149"/>
      <c r="F245" s="144" t="str">
        <f t="shared" si="30"/>
        <v/>
      </c>
      <c r="G245" s="183"/>
      <c r="H245" s="144" t="str">
        <f t="shared" si="31"/>
        <v/>
      </c>
      <c r="I245" s="182"/>
      <c r="J245" s="182"/>
      <c r="K245" s="182"/>
      <c r="M245" s="139" t="str">
        <f t="shared" si="32"/>
        <v/>
      </c>
      <c r="N245" s="139" t="str">
        <f t="shared" si="33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9"/>
        <v/>
      </c>
      <c r="E246" s="149"/>
      <c r="F246" s="144" t="str">
        <f t="shared" si="30"/>
        <v/>
      </c>
      <c r="G246" s="183"/>
      <c r="H246" s="144" t="str">
        <f t="shared" si="31"/>
        <v/>
      </c>
      <c r="I246" s="182"/>
      <c r="J246" s="182"/>
      <c r="K246" s="182"/>
      <c r="M246" s="139" t="str">
        <f t="shared" si="32"/>
        <v/>
      </c>
      <c r="N246" s="139" t="str">
        <f t="shared" si="33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9"/>
        <v/>
      </c>
      <c r="E247" s="149"/>
      <c r="F247" s="144" t="str">
        <f t="shared" si="30"/>
        <v/>
      </c>
      <c r="G247" s="183"/>
      <c r="H247" s="144" t="str">
        <f t="shared" si="31"/>
        <v/>
      </c>
      <c r="I247" s="182"/>
      <c r="J247" s="182"/>
      <c r="K247" s="182"/>
      <c r="M247" s="139" t="str">
        <f t="shared" si="32"/>
        <v/>
      </c>
      <c r="N247" s="139" t="str">
        <f t="shared" si="33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9"/>
        <v/>
      </c>
      <c r="E248" s="149"/>
      <c r="F248" s="144" t="str">
        <f t="shared" si="30"/>
        <v/>
      </c>
      <c r="G248" s="183"/>
      <c r="H248" s="144" t="str">
        <f t="shared" si="31"/>
        <v/>
      </c>
      <c r="I248" s="182"/>
      <c r="J248" s="182"/>
      <c r="K248" s="182"/>
      <c r="M248" s="139" t="str">
        <f t="shared" si="32"/>
        <v/>
      </c>
      <c r="N248" s="139" t="str">
        <f t="shared" si="33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9"/>
        <v/>
      </c>
      <c r="E249" s="149"/>
      <c r="F249" s="144" t="str">
        <f t="shared" si="30"/>
        <v/>
      </c>
      <c r="G249" s="183"/>
      <c r="H249" s="144" t="str">
        <f t="shared" si="31"/>
        <v/>
      </c>
      <c r="I249" s="182"/>
      <c r="J249" s="182"/>
      <c r="K249" s="182"/>
      <c r="M249" s="139" t="str">
        <f t="shared" si="32"/>
        <v/>
      </c>
      <c r="N249" s="139" t="str">
        <f t="shared" si="33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9"/>
        <v/>
      </c>
      <c r="E250" s="149"/>
      <c r="F250" s="144" t="str">
        <f t="shared" si="30"/>
        <v/>
      </c>
      <c r="G250" s="183"/>
      <c r="H250" s="144" t="str">
        <f t="shared" si="31"/>
        <v/>
      </c>
      <c r="I250" s="182"/>
      <c r="J250" s="182"/>
      <c r="K250" s="182"/>
      <c r="M250" s="139" t="str">
        <f t="shared" si="32"/>
        <v/>
      </c>
      <c r="N250" s="139" t="str">
        <f t="shared" si="33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9"/>
        <v/>
      </c>
      <c r="E251" s="149"/>
      <c r="F251" s="144" t="str">
        <f t="shared" si="30"/>
        <v/>
      </c>
      <c r="G251" s="183"/>
      <c r="H251" s="144" t="str">
        <f t="shared" si="31"/>
        <v/>
      </c>
      <c r="I251" s="182"/>
      <c r="J251" s="182"/>
      <c r="K251" s="182"/>
      <c r="M251" s="139" t="str">
        <f t="shared" si="32"/>
        <v/>
      </c>
      <c r="N251" s="139" t="str">
        <f t="shared" si="33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9"/>
        <v/>
      </c>
      <c r="E252" s="149"/>
      <c r="F252" s="144" t="str">
        <f t="shared" si="30"/>
        <v/>
      </c>
      <c r="G252" s="183"/>
      <c r="H252" s="144" t="str">
        <f t="shared" si="31"/>
        <v/>
      </c>
      <c r="I252" s="182"/>
      <c r="J252" s="182"/>
      <c r="K252" s="182"/>
      <c r="M252" s="139" t="str">
        <f t="shared" si="32"/>
        <v/>
      </c>
      <c r="N252" s="139" t="str">
        <f t="shared" si="33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9"/>
        <v/>
      </c>
      <c r="E253" s="149"/>
      <c r="F253" s="144" t="str">
        <f t="shared" si="30"/>
        <v/>
      </c>
      <c r="G253" s="183"/>
      <c r="H253" s="144" t="str">
        <f t="shared" si="31"/>
        <v/>
      </c>
      <c r="I253" s="182"/>
      <c r="J253" s="182"/>
      <c r="K253" s="182"/>
      <c r="M253" s="139" t="str">
        <f t="shared" si="32"/>
        <v/>
      </c>
      <c r="N253" s="139" t="str">
        <f t="shared" si="33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9"/>
        <v/>
      </c>
      <c r="E254" s="149"/>
      <c r="F254" s="144" t="str">
        <f t="shared" si="30"/>
        <v/>
      </c>
      <c r="G254" s="183"/>
      <c r="H254" s="144" t="str">
        <f t="shared" si="31"/>
        <v/>
      </c>
      <c r="I254" s="182"/>
      <c r="J254" s="182"/>
      <c r="K254" s="182"/>
      <c r="M254" s="139" t="str">
        <f t="shared" si="32"/>
        <v/>
      </c>
      <c r="N254" s="139" t="str">
        <f t="shared" si="33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9"/>
        <v/>
      </c>
      <c r="E255" s="149"/>
      <c r="F255" s="144" t="str">
        <f t="shared" si="30"/>
        <v/>
      </c>
      <c r="G255" s="183"/>
      <c r="H255" s="144" t="str">
        <f t="shared" si="31"/>
        <v/>
      </c>
      <c r="I255" s="182"/>
      <c r="J255" s="182"/>
      <c r="K255" s="182"/>
      <c r="M255" s="139" t="str">
        <f t="shared" si="32"/>
        <v/>
      </c>
      <c r="N255" s="139" t="str">
        <f t="shared" si="33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9"/>
        <v/>
      </c>
      <c r="E256" s="149"/>
      <c r="F256" s="144" t="str">
        <f t="shared" si="30"/>
        <v/>
      </c>
      <c r="G256" s="183"/>
      <c r="H256" s="144" t="str">
        <f t="shared" si="31"/>
        <v/>
      </c>
      <c r="I256" s="182"/>
      <c r="J256" s="182"/>
      <c r="K256" s="182"/>
      <c r="M256" s="139" t="str">
        <f t="shared" si="32"/>
        <v/>
      </c>
      <c r="N256" s="139" t="str">
        <f t="shared" si="33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9"/>
        <v/>
      </c>
      <c r="E257" s="149"/>
      <c r="F257" s="144" t="str">
        <f t="shared" si="30"/>
        <v/>
      </c>
      <c r="G257" s="183"/>
      <c r="H257" s="144" t="str">
        <f t="shared" si="31"/>
        <v/>
      </c>
      <c r="I257" s="182"/>
      <c r="J257" s="182"/>
      <c r="K257" s="182"/>
      <c r="M257" s="139" t="str">
        <f t="shared" si="32"/>
        <v/>
      </c>
      <c r="N257" s="139" t="str">
        <f t="shared" si="33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9"/>
        <v/>
      </c>
      <c r="E258" s="149"/>
      <c r="F258" s="144" t="str">
        <f t="shared" si="30"/>
        <v/>
      </c>
      <c r="G258" s="183"/>
      <c r="H258" s="144" t="str">
        <f t="shared" si="31"/>
        <v/>
      </c>
      <c r="I258" s="182"/>
      <c r="J258" s="182"/>
      <c r="K258" s="182"/>
      <c r="M258" s="139" t="str">
        <f t="shared" si="32"/>
        <v/>
      </c>
      <c r="N258" s="139" t="str">
        <f t="shared" si="33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ref="D259:D322" si="34">IFERROR(VLOOKUP(C259,$O$6:$P$23,2,FALSE),"")</f>
        <v/>
      </c>
      <c r="E259" s="149"/>
      <c r="F259" s="144" t="str">
        <f t="shared" ref="F259:F322" si="35">IFERROR(VLOOKUP(E259,$R$5:$T$129,2,FALSE),"")</f>
        <v/>
      </c>
      <c r="G259" s="183"/>
      <c r="H259" s="144" t="str">
        <f t="shared" si="31"/>
        <v/>
      </c>
      <c r="I259" s="182"/>
      <c r="J259" s="182"/>
      <c r="K259" s="182"/>
      <c r="M259" s="139" t="str">
        <f t="shared" si="32"/>
        <v/>
      </c>
      <c r="N259" s="139" t="str">
        <f t="shared" si="33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si="34"/>
        <v/>
      </c>
      <c r="E260" s="149"/>
      <c r="F260" s="144" t="str">
        <f t="shared" si="35"/>
        <v/>
      </c>
      <c r="G260" s="183"/>
      <c r="H260" s="144" t="str">
        <f t="shared" ref="H260:H323" si="36">IFERROR(VLOOKUP(G260,$X$6:$Y$297,2,FALSE),"")</f>
        <v/>
      </c>
      <c r="I260" s="182"/>
      <c r="J260" s="182"/>
      <c r="K260" s="182"/>
      <c r="M260" s="139" t="str">
        <f t="shared" ref="M260:M323" si="37">LEFT(E260,3)</f>
        <v/>
      </c>
      <c r="N260" s="139" t="str">
        <f t="shared" ref="N260:N323" si="38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4"/>
        <v/>
      </c>
      <c r="E261" s="149"/>
      <c r="F261" s="144" t="str">
        <f t="shared" si="35"/>
        <v/>
      </c>
      <c r="G261" s="183"/>
      <c r="H261" s="144" t="str">
        <f t="shared" si="36"/>
        <v/>
      </c>
      <c r="I261" s="182"/>
      <c r="J261" s="182"/>
      <c r="K261" s="182"/>
      <c r="M261" s="139" t="str">
        <f t="shared" si="37"/>
        <v/>
      </c>
      <c r="N261" s="139" t="str">
        <f t="shared" si="38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4"/>
        <v/>
      </c>
      <c r="E262" s="149"/>
      <c r="F262" s="144" t="str">
        <f t="shared" si="35"/>
        <v/>
      </c>
      <c r="G262" s="183"/>
      <c r="H262" s="144" t="str">
        <f t="shared" si="36"/>
        <v/>
      </c>
      <c r="I262" s="182"/>
      <c r="J262" s="182"/>
      <c r="K262" s="182"/>
      <c r="M262" s="139" t="str">
        <f t="shared" si="37"/>
        <v/>
      </c>
      <c r="N262" s="139" t="str">
        <f t="shared" si="38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4"/>
        <v/>
      </c>
      <c r="E263" s="149"/>
      <c r="F263" s="144" t="str">
        <f t="shared" si="35"/>
        <v/>
      </c>
      <c r="G263" s="183"/>
      <c r="H263" s="144" t="str">
        <f t="shared" si="36"/>
        <v/>
      </c>
      <c r="I263" s="182"/>
      <c r="J263" s="182"/>
      <c r="K263" s="182"/>
      <c r="M263" s="139" t="str">
        <f t="shared" si="37"/>
        <v/>
      </c>
      <c r="N263" s="139" t="str">
        <f t="shared" si="38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4"/>
        <v/>
      </c>
      <c r="E264" s="149"/>
      <c r="F264" s="144" t="str">
        <f t="shared" si="35"/>
        <v/>
      </c>
      <c r="G264" s="183"/>
      <c r="H264" s="144" t="str">
        <f t="shared" si="36"/>
        <v/>
      </c>
      <c r="I264" s="182"/>
      <c r="J264" s="182"/>
      <c r="K264" s="182"/>
      <c r="M264" s="139" t="str">
        <f t="shared" si="37"/>
        <v/>
      </c>
      <c r="N264" s="139" t="str">
        <f t="shared" si="38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4"/>
        <v/>
      </c>
      <c r="E265" s="149"/>
      <c r="F265" s="144" t="str">
        <f t="shared" si="35"/>
        <v/>
      </c>
      <c r="G265" s="183"/>
      <c r="H265" s="144" t="str">
        <f t="shared" si="36"/>
        <v/>
      </c>
      <c r="I265" s="182"/>
      <c r="J265" s="182"/>
      <c r="K265" s="182"/>
      <c r="M265" s="139" t="str">
        <f t="shared" si="37"/>
        <v/>
      </c>
      <c r="N265" s="139" t="str">
        <f t="shared" si="38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4"/>
        <v/>
      </c>
      <c r="E266" s="149"/>
      <c r="F266" s="144" t="str">
        <f t="shared" si="35"/>
        <v/>
      </c>
      <c r="G266" s="183"/>
      <c r="H266" s="144" t="str">
        <f t="shared" si="36"/>
        <v/>
      </c>
      <c r="I266" s="182"/>
      <c r="J266" s="182"/>
      <c r="K266" s="182"/>
      <c r="M266" s="139" t="str">
        <f t="shared" si="37"/>
        <v/>
      </c>
      <c r="N266" s="139" t="str">
        <f t="shared" si="38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4"/>
        <v/>
      </c>
      <c r="E267" s="149"/>
      <c r="F267" s="144" t="str">
        <f t="shared" si="35"/>
        <v/>
      </c>
      <c r="G267" s="183"/>
      <c r="H267" s="144" t="str">
        <f t="shared" si="36"/>
        <v/>
      </c>
      <c r="I267" s="182"/>
      <c r="J267" s="182"/>
      <c r="K267" s="182"/>
      <c r="M267" s="139" t="str">
        <f t="shared" si="37"/>
        <v/>
      </c>
      <c r="N267" s="139" t="str">
        <f t="shared" si="38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4"/>
        <v/>
      </c>
      <c r="E268" s="149"/>
      <c r="F268" s="144" t="str">
        <f t="shared" si="35"/>
        <v/>
      </c>
      <c r="G268" s="183"/>
      <c r="H268" s="144" t="str">
        <f t="shared" si="36"/>
        <v/>
      </c>
      <c r="I268" s="182"/>
      <c r="J268" s="182"/>
      <c r="K268" s="182"/>
      <c r="M268" s="139" t="str">
        <f t="shared" si="37"/>
        <v/>
      </c>
      <c r="N268" s="139" t="str">
        <f t="shared" si="38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4"/>
        <v/>
      </c>
      <c r="E269" s="149"/>
      <c r="F269" s="144" t="str">
        <f t="shared" si="35"/>
        <v/>
      </c>
      <c r="G269" s="183"/>
      <c r="H269" s="144" t="str">
        <f t="shared" si="36"/>
        <v/>
      </c>
      <c r="I269" s="182"/>
      <c r="J269" s="182"/>
      <c r="K269" s="182"/>
      <c r="M269" s="139" t="str">
        <f t="shared" si="37"/>
        <v/>
      </c>
      <c r="N269" s="139" t="str">
        <f t="shared" si="38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4"/>
        <v/>
      </c>
      <c r="E270" s="149"/>
      <c r="F270" s="144" t="str">
        <f t="shared" si="35"/>
        <v/>
      </c>
      <c r="G270" s="183"/>
      <c r="H270" s="144" t="str">
        <f t="shared" si="36"/>
        <v/>
      </c>
      <c r="I270" s="182"/>
      <c r="J270" s="182"/>
      <c r="K270" s="182"/>
      <c r="M270" s="139" t="str">
        <f t="shared" si="37"/>
        <v/>
      </c>
      <c r="N270" s="139" t="str">
        <f t="shared" si="38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4"/>
        <v/>
      </c>
      <c r="E271" s="149"/>
      <c r="F271" s="144" t="str">
        <f t="shared" si="35"/>
        <v/>
      </c>
      <c r="G271" s="183"/>
      <c r="H271" s="144" t="str">
        <f t="shared" si="36"/>
        <v/>
      </c>
      <c r="I271" s="182"/>
      <c r="J271" s="182"/>
      <c r="K271" s="182"/>
      <c r="M271" s="139" t="str">
        <f t="shared" si="37"/>
        <v/>
      </c>
      <c r="N271" s="139" t="str">
        <f t="shared" si="38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4"/>
        <v/>
      </c>
      <c r="E272" s="149"/>
      <c r="F272" s="144" t="str">
        <f t="shared" si="35"/>
        <v/>
      </c>
      <c r="G272" s="183"/>
      <c r="H272" s="144" t="str">
        <f t="shared" si="36"/>
        <v/>
      </c>
      <c r="I272" s="182"/>
      <c r="J272" s="182"/>
      <c r="K272" s="182"/>
      <c r="M272" s="139" t="str">
        <f t="shared" si="37"/>
        <v/>
      </c>
      <c r="N272" s="139" t="str">
        <f t="shared" si="38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4"/>
        <v/>
      </c>
      <c r="E273" s="149"/>
      <c r="F273" s="144" t="str">
        <f t="shared" si="35"/>
        <v/>
      </c>
      <c r="G273" s="183"/>
      <c r="H273" s="144" t="str">
        <f t="shared" si="36"/>
        <v/>
      </c>
      <c r="I273" s="182"/>
      <c r="J273" s="182"/>
      <c r="K273" s="182"/>
      <c r="M273" s="139" t="str">
        <f t="shared" si="37"/>
        <v/>
      </c>
      <c r="N273" s="139" t="str">
        <f t="shared" si="38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4"/>
        <v/>
      </c>
      <c r="E274" s="149"/>
      <c r="F274" s="144" t="str">
        <f t="shared" si="35"/>
        <v/>
      </c>
      <c r="G274" s="183"/>
      <c r="H274" s="144" t="str">
        <f t="shared" si="36"/>
        <v/>
      </c>
      <c r="I274" s="182"/>
      <c r="J274" s="182"/>
      <c r="K274" s="182"/>
      <c r="M274" s="139" t="str">
        <f t="shared" si="37"/>
        <v/>
      </c>
      <c r="N274" s="139" t="str">
        <f t="shared" si="38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4"/>
        <v/>
      </c>
      <c r="E275" s="149"/>
      <c r="F275" s="144" t="str">
        <f t="shared" si="35"/>
        <v/>
      </c>
      <c r="G275" s="183"/>
      <c r="H275" s="144" t="str">
        <f t="shared" si="36"/>
        <v/>
      </c>
      <c r="I275" s="182"/>
      <c r="J275" s="182"/>
      <c r="K275" s="182"/>
      <c r="M275" s="139" t="str">
        <f t="shared" si="37"/>
        <v/>
      </c>
      <c r="N275" s="139" t="str">
        <f t="shared" si="38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4"/>
        <v/>
      </c>
      <c r="E276" s="149"/>
      <c r="F276" s="144" t="str">
        <f t="shared" si="35"/>
        <v/>
      </c>
      <c r="G276" s="183"/>
      <c r="H276" s="144" t="str">
        <f t="shared" si="36"/>
        <v/>
      </c>
      <c r="I276" s="182"/>
      <c r="J276" s="182"/>
      <c r="K276" s="182"/>
      <c r="M276" s="139" t="str">
        <f t="shared" si="37"/>
        <v/>
      </c>
      <c r="N276" s="139" t="str">
        <f t="shared" si="38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4"/>
        <v/>
      </c>
      <c r="E277" s="149"/>
      <c r="F277" s="144" t="str">
        <f t="shared" si="35"/>
        <v/>
      </c>
      <c r="G277" s="183"/>
      <c r="H277" s="144" t="str">
        <f t="shared" si="36"/>
        <v/>
      </c>
      <c r="I277" s="182"/>
      <c r="J277" s="182"/>
      <c r="K277" s="182"/>
      <c r="M277" s="139" t="str">
        <f t="shared" si="37"/>
        <v/>
      </c>
      <c r="N277" s="139" t="str">
        <f t="shared" si="38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4"/>
        <v/>
      </c>
      <c r="E278" s="149"/>
      <c r="F278" s="144" t="str">
        <f t="shared" si="35"/>
        <v/>
      </c>
      <c r="G278" s="183"/>
      <c r="H278" s="144" t="str">
        <f t="shared" si="36"/>
        <v/>
      </c>
      <c r="I278" s="182"/>
      <c r="J278" s="182"/>
      <c r="K278" s="182"/>
      <c r="M278" s="139" t="str">
        <f t="shared" si="37"/>
        <v/>
      </c>
      <c r="N278" s="139" t="str">
        <f t="shared" si="38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4"/>
        <v/>
      </c>
      <c r="E279" s="149"/>
      <c r="F279" s="144" t="str">
        <f t="shared" si="35"/>
        <v/>
      </c>
      <c r="G279" s="183"/>
      <c r="H279" s="144" t="str">
        <f t="shared" si="36"/>
        <v/>
      </c>
      <c r="I279" s="182"/>
      <c r="J279" s="182"/>
      <c r="K279" s="182"/>
      <c r="M279" s="139" t="str">
        <f t="shared" si="37"/>
        <v/>
      </c>
      <c r="N279" s="139" t="str">
        <f t="shared" si="38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4"/>
        <v/>
      </c>
      <c r="E280" s="149"/>
      <c r="F280" s="144" t="str">
        <f t="shared" si="35"/>
        <v/>
      </c>
      <c r="G280" s="183"/>
      <c r="H280" s="144" t="str">
        <f t="shared" si="36"/>
        <v/>
      </c>
      <c r="I280" s="182"/>
      <c r="J280" s="182"/>
      <c r="K280" s="182"/>
      <c r="M280" s="139" t="str">
        <f t="shared" si="37"/>
        <v/>
      </c>
      <c r="N280" s="139" t="str">
        <f t="shared" si="38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4"/>
        <v/>
      </c>
      <c r="E281" s="149"/>
      <c r="F281" s="144" t="str">
        <f t="shared" si="35"/>
        <v/>
      </c>
      <c r="G281" s="183"/>
      <c r="H281" s="144" t="str">
        <f t="shared" si="36"/>
        <v/>
      </c>
      <c r="I281" s="182"/>
      <c r="J281" s="182"/>
      <c r="K281" s="182"/>
      <c r="M281" s="139" t="str">
        <f t="shared" si="37"/>
        <v/>
      </c>
      <c r="N281" s="139" t="str">
        <f t="shared" si="38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4"/>
        <v/>
      </c>
      <c r="E282" s="149"/>
      <c r="F282" s="144" t="str">
        <f t="shared" si="35"/>
        <v/>
      </c>
      <c r="G282" s="183"/>
      <c r="H282" s="144" t="str">
        <f t="shared" si="36"/>
        <v/>
      </c>
      <c r="I282" s="182"/>
      <c r="J282" s="182"/>
      <c r="K282" s="182"/>
      <c r="M282" s="139" t="str">
        <f t="shared" si="37"/>
        <v/>
      </c>
      <c r="N282" s="139" t="str">
        <f t="shared" si="38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4"/>
        <v/>
      </c>
      <c r="E283" s="149"/>
      <c r="F283" s="144" t="str">
        <f t="shared" si="35"/>
        <v/>
      </c>
      <c r="G283" s="183"/>
      <c r="H283" s="144" t="str">
        <f t="shared" si="36"/>
        <v/>
      </c>
      <c r="I283" s="182"/>
      <c r="J283" s="182"/>
      <c r="K283" s="182"/>
      <c r="M283" s="139" t="str">
        <f t="shared" si="37"/>
        <v/>
      </c>
      <c r="N283" s="139" t="str">
        <f t="shared" si="38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4"/>
        <v/>
      </c>
      <c r="E284" s="149"/>
      <c r="F284" s="144" t="str">
        <f t="shared" si="35"/>
        <v/>
      </c>
      <c r="G284" s="183"/>
      <c r="H284" s="144" t="str">
        <f t="shared" si="36"/>
        <v/>
      </c>
      <c r="I284" s="182"/>
      <c r="J284" s="182"/>
      <c r="K284" s="182"/>
      <c r="M284" s="139" t="str">
        <f t="shared" si="37"/>
        <v/>
      </c>
      <c r="N284" s="139" t="str">
        <f t="shared" si="38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4"/>
        <v/>
      </c>
      <c r="E285" s="149"/>
      <c r="F285" s="144" t="str">
        <f t="shared" si="35"/>
        <v/>
      </c>
      <c r="G285" s="183"/>
      <c r="H285" s="144" t="str">
        <f t="shared" si="36"/>
        <v/>
      </c>
      <c r="I285" s="182"/>
      <c r="J285" s="182"/>
      <c r="K285" s="182"/>
      <c r="M285" s="139" t="str">
        <f t="shared" si="37"/>
        <v/>
      </c>
      <c r="N285" s="139" t="str">
        <f t="shared" si="38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4"/>
        <v/>
      </c>
      <c r="E286" s="149"/>
      <c r="F286" s="144" t="str">
        <f t="shared" si="35"/>
        <v/>
      </c>
      <c r="G286" s="183"/>
      <c r="H286" s="144" t="str">
        <f t="shared" si="36"/>
        <v/>
      </c>
      <c r="I286" s="182"/>
      <c r="J286" s="182"/>
      <c r="K286" s="182"/>
      <c r="M286" s="139" t="str">
        <f t="shared" si="37"/>
        <v/>
      </c>
      <c r="N286" s="139" t="str">
        <f t="shared" si="38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4"/>
        <v/>
      </c>
      <c r="E287" s="149"/>
      <c r="F287" s="144" t="str">
        <f t="shared" si="35"/>
        <v/>
      </c>
      <c r="G287" s="183"/>
      <c r="H287" s="144" t="str">
        <f t="shared" si="36"/>
        <v/>
      </c>
      <c r="I287" s="182"/>
      <c r="J287" s="182"/>
      <c r="K287" s="182"/>
      <c r="M287" s="139" t="str">
        <f t="shared" si="37"/>
        <v/>
      </c>
      <c r="N287" s="139" t="str">
        <f t="shared" si="38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4"/>
        <v/>
      </c>
      <c r="E288" s="149"/>
      <c r="F288" s="144" t="str">
        <f t="shared" si="35"/>
        <v/>
      </c>
      <c r="G288" s="183"/>
      <c r="H288" s="144" t="str">
        <f t="shared" si="36"/>
        <v/>
      </c>
      <c r="I288" s="182"/>
      <c r="J288" s="182"/>
      <c r="K288" s="182"/>
      <c r="M288" s="139" t="str">
        <f t="shared" si="37"/>
        <v/>
      </c>
      <c r="N288" s="139" t="str">
        <f t="shared" si="38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4"/>
        <v/>
      </c>
      <c r="E289" s="149"/>
      <c r="F289" s="144" t="str">
        <f t="shared" si="35"/>
        <v/>
      </c>
      <c r="G289" s="183"/>
      <c r="H289" s="144" t="str">
        <f t="shared" si="36"/>
        <v/>
      </c>
      <c r="I289" s="182"/>
      <c r="J289" s="182"/>
      <c r="K289" s="182"/>
      <c r="M289" s="139" t="str">
        <f t="shared" si="37"/>
        <v/>
      </c>
      <c r="N289" s="139" t="str">
        <f t="shared" si="38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4"/>
        <v/>
      </c>
      <c r="E290" s="149"/>
      <c r="F290" s="144" t="str">
        <f t="shared" si="35"/>
        <v/>
      </c>
      <c r="G290" s="183"/>
      <c r="H290" s="144" t="str">
        <f t="shared" si="36"/>
        <v/>
      </c>
      <c r="I290" s="182"/>
      <c r="J290" s="182"/>
      <c r="K290" s="182"/>
      <c r="M290" s="139" t="str">
        <f t="shared" si="37"/>
        <v/>
      </c>
      <c r="N290" s="139" t="str">
        <f t="shared" si="38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4"/>
        <v/>
      </c>
      <c r="E291" s="149"/>
      <c r="F291" s="144" t="str">
        <f t="shared" si="35"/>
        <v/>
      </c>
      <c r="G291" s="183"/>
      <c r="H291" s="144" t="str">
        <f t="shared" si="36"/>
        <v/>
      </c>
      <c r="I291" s="182"/>
      <c r="J291" s="182"/>
      <c r="K291" s="182"/>
      <c r="M291" s="139" t="str">
        <f t="shared" si="37"/>
        <v/>
      </c>
      <c r="N291" s="139" t="str">
        <f t="shared" si="38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4"/>
        <v/>
      </c>
      <c r="E292" s="149"/>
      <c r="F292" s="144" t="str">
        <f t="shared" si="35"/>
        <v/>
      </c>
      <c r="G292" s="183"/>
      <c r="H292" s="144" t="str">
        <f t="shared" si="36"/>
        <v/>
      </c>
      <c r="I292" s="182"/>
      <c r="J292" s="182"/>
      <c r="K292" s="182"/>
      <c r="M292" s="139" t="str">
        <f t="shared" si="37"/>
        <v/>
      </c>
      <c r="N292" s="139" t="str">
        <f t="shared" si="38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4"/>
        <v/>
      </c>
      <c r="E293" s="149"/>
      <c r="F293" s="144" t="str">
        <f t="shared" si="35"/>
        <v/>
      </c>
      <c r="G293" s="183"/>
      <c r="H293" s="144" t="str">
        <f t="shared" si="36"/>
        <v/>
      </c>
      <c r="I293" s="182"/>
      <c r="J293" s="182"/>
      <c r="K293" s="182"/>
      <c r="M293" s="139" t="str">
        <f t="shared" si="37"/>
        <v/>
      </c>
      <c r="N293" s="139" t="str">
        <f t="shared" si="38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4"/>
        <v/>
      </c>
      <c r="E294" s="149"/>
      <c r="F294" s="144" t="str">
        <f t="shared" si="35"/>
        <v/>
      </c>
      <c r="G294" s="183"/>
      <c r="H294" s="144" t="str">
        <f t="shared" si="36"/>
        <v/>
      </c>
      <c r="I294" s="182"/>
      <c r="J294" s="182"/>
      <c r="K294" s="182"/>
      <c r="M294" s="139" t="str">
        <f t="shared" si="37"/>
        <v/>
      </c>
      <c r="N294" s="139" t="str">
        <f t="shared" si="38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4"/>
        <v/>
      </c>
      <c r="E295" s="149"/>
      <c r="F295" s="144" t="str">
        <f t="shared" si="35"/>
        <v/>
      </c>
      <c r="G295" s="183"/>
      <c r="H295" s="144" t="str">
        <f t="shared" si="36"/>
        <v/>
      </c>
      <c r="I295" s="182"/>
      <c r="J295" s="182"/>
      <c r="K295" s="182"/>
      <c r="M295" s="139" t="str">
        <f t="shared" si="37"/>
        <v/>
      </c>
      <c r="N295" s="139" t="str">
        <f t="shared" si="38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4"/>
        <v/>
      </c>
      <c r="E296" s="149"/>
      <c r="F296" s="144" t="str">
        <f t="shared" si="35"/>
        <v/>
      </c>
      <c r="G296" s="183"/>
      <c r="H296" s="144" t="str">
        <f t="shared" si="36"/>
        <v/>
      </c>
      <c r="I296" s="182"/>
      <c r="J296" s="182"/>
      <c r="K296" s="182"/>
      <c r="M296" s="139" t="str">
        <f t="shared" si="37"/>
        <v/>
      </c>
      <c r="N296" s="139" t="str">
        <f t="shared" si="38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4"/>
        <v/>
      </c>
      <c r="E297" s="149"/>
      <c r="F297" s="144" t="str">
        <f t="shared" si="35"/>
        <v/>
      </c>
      <c r="G297" s="183"/>
      <c r="H297" s="144" t="str">
        <f t="shared" si="36"/>
        <v/>
      </c>
      <c r="I297" s="182"/>
      <c r="J297" s="182"/>
      <c r="K297" s="182"/>
      <c r="M297" s="139" t="str">
        <f t="shared" si="37"/>
        <v/>
      </c>
      <c r="N297" s="139" t="str">
        <f t="shared" si="38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4"/>
        <v/>
      </c>
      <c r="E298" s="149"/>
      <c r="F298" s="144" t="str">
        <f t="shared" si="35"/>
        <v/>
      </c>
      <c r="G298" s="183"/>
      <c r="H298" s="144" t="str">
        <f t="shared" si="36"/>
        <v/>
      </c>
      <c r="I298" s="182"/>
      <c r="J298" s="182"/>
      <c r="K298" s="182"/>
      <c r="M298" s="139" t="str">
        <f t="shared" si="37"/>
        <v/>
      </c>
      <c r="N298" s="139" t="str">
        <f t="shared" si="38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4"/>
        <v/>
      </c>
      <c r="E299" s="149"/>
      <c r="F299" s="144" t="str">
        <f t="shared" si="35"/>
        <v/>
      </c>
      <c r="G299" s="183"/>
      <c r="H299" s="144" t="str">
        <f t="shared" si="36"/>
        <v/>
      </c>
      <c r="I299" s="182"/>
      <c r="J299" s="182"/>
      <c r="K299" s="182"/>
      <c r="M299" s="139" t="str">
        <f t="shared" si="37"/>
        <v/>
      </c>
      <c r="N299" s="139" t="str">
        <f t="shared" si="38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4"/>
        <v/>
      </c>
      <c r="E300" s="149"/>
      <c r="F300" s="144" t="str">
        <f t="shared" si="35"/>
        <v/>
      </c>
      <c r="G300" s="183"/>
      <c r="H300" s="144" t="str">
        <f t="shared" si="36"/>
        <v/>
      </c>
      <c r="I300" s="182"/>
      <c r="J300" s="182"/>
      <c r="K300" s="182"/>
      <c r="M300" s="139" t="str">
        <f t="shared" si="37"/>
        <v/>
      </c>
      <c r="N300" s="139" t="str">
        <f t="shared" si="38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4"/>
        <v/>
      </c>
      <c r="E301" s="149"/>
      <c r="F301" s="144" t="str">
        <f t="shared" si="35"/>
        <v/>
      </c>
      <c r="G301" s="183"/>
      <c r="H301" s="144" t="str">
        <f t="shared" si="36"/>
        <v/>
      </c>
      <c r="I301" s="182"/>
      <c r="J301" s="182"/>
      <c r="K301" s="182"/>
      <c r="M301" s="139" t="str">
        <f t="shared" si="37"/>
        <v/>
      </c>
      <c r="N301" s="139" t="str">
        <f t="shared" si="38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4"/>
        <v/>
      </c>
      <c r="E302" s="149"/>
      <c r="F302" s="144" t="str">
        <f t="shared" si="35"/>
        <v/>
      </c>
      <c r="G302" s="183"/>
      <c r="H302" s="144" t="str">
        <f t="shared" si="36"/>
        <v/>
      </c>
      <c r="I302" s="182"/>
      <c r="J302" s="182"/>
      <c r="K302" s="182"/>
      <c r="M302" s="139" t="str">
        <f t="shared" si="37"/>
        <v/>
      </c>
      <c r="N302" s="139" t="str">
        <f t="shared" si="38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4"/>
        <v/>
      </c>
      <c r="E303" s="149"/>
      <c r="F303" s="144" t="str">
        <f t="shared" si="35"/>
        <v/>
      </c>
      <c r="G303" s="183"/>
      <c r="H303" s="144" t="str">
        <f t="shared" si="36"/>
        <v/>
      </c>
      <c r="I303" s="182"/>
      <c r="J303" s="182"/>
      <c r="K303" s="182"/>
      <c r="M303" s="139" t="str">
        <f t="shared" si="37"/>
        <v/>
      </c>
      <c r="N303" s="139" t="str">
        <f t="shared" si="38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4"/>
        <v/>
      </c>
      <c r="E304" s="149"/>
      <c r="F304" s="144" t="str">
        <f t="shared" si="35"/>
        <v/>
      </c>
      <c r="G304" s="183"/>
      <c r="H304" s="144" t="str">
        <f t="shared" si="36"/>
        <v/>
      </c>
      <c r="I304" s="182"/>
      <c r="J304" s="182"/>
      <c r="K304" s="182"/>
      <c r="M304" s="139" t="str">
        <f t="shared" si="37"/>
        <v/>
      </c>
      <c r="N304" s="139" t="str">
        <f t="shared" si="38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4"/>
        <v/>
      </c>
      <c r="E305" s="149"/>
      <c r="F305" s="144" t="str">
        <f t="shared" si="35"/>
        <v/>
      </c>
      <c r="G305" s="183"/>
      <c r="H305" s="144" t="str">
        <f t="shared" si="36"/>
        <v/>
      </c>
      <c r="I305" s="182"/>
      <c r="J305" s="182"/>
      <c r="K305" s="182"/>
      <c r="M305" s="139" t="str">
        <f t="shared" si="37"/>
        <v/>
      </c>
      <c r="N305" s="139" t="str">
        <f t="shared" si="38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4"/>
        <v/>
      </c>
      <c r="E306" s="149"/>
      <c r="F306" s="144" t="str">
        <f t="shared" si="35"/>
        <v/>
      </c>
      <c r="G306" s="183"/>
      <c r="H306" s="144" t="str">
        <f t="shared" si="36"/>
        <v/>
      </c>
      <c r="I306" s="182"/>
      <c r="J306" s="182"/>
      <c r="K306" s="182"/>
      <c r="M306" s="139" t="str">
        <f t="shared" si="37"/>
        <v/>
      </c>
      <c r="N306" s="139" t="str">
        <f t="shared" si="38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4"/>
        <v/>
      </c>
      <c r="E307" s="149"/>
      <c r="F307" s="144" t="str">
        <f t="shared" si="35"/>
        <v/>
      </c>
      <c r="G307" s="183"/>
      <c r="H307" s="144" t="str">
        <f t="shared" si="36"/>
        <v/>
      </c>
      <c r="I307" s="182"/>
      <c r="J307" s="182"/>
      <c r="K307" s="182"/>
      <c r="M307" s="139" t="str">
        <f t="shared" si="37"/>
        <v/>
      </c>
      <c r="N307" s="139" t="str">
        <f t="shared" si="38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4"/>
        <v/>
      </c>
      <c r="E308" s="149"/>
      <c r="F308" s="144" t="str">
        <f t="shared" si="35"/>
        <v/>
      </c>
      <c r="G308" s="183"/>
      <c r="H308" s="144" t="str">
        <f t="shared" si="36"/>
        <v/>
      </c>
      <c r="I308" s="182"/>
      <c r="J308" s="182"/>
      <c r="K308" s="182"/>
      <c r="M308" s="139" t="str">
        <f t="shared" si="37"/>
        <v/>
      </c>
      <c r="N308" s="139" t="str">
        <f t="shared" si="38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4"/>
        <v/>
      </c>
      <c r="E309" s="149"/>
      <c r="F309" s="144" t="str">
        <f t="shared" si="35"/>
        <v/>
      </c>
      <c r="G309" s="183"/>
      <c r="H309" s="144" t="str">
        <f t="shared" si="36"/>
        <v/>
      </c>
      <c r="I309" s="182"/>
      <c r="J309" s="182"/>
      <c r="K309" s="182"/>
      <c r="M309" s="139" t="str">
        <f t="shared" si="37"/>
        <v/>
      </c>
      <c r="N309" s="139" t="str">
        <f t="shared" si="38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4"/>
        <v/>
      </c>
      <c r="E310" s="149"/>
      <c r="F310" s="144" t="str">
        <f t="shared" si="35"/>
        <v/>
      </c>
      <c r="G310" s="183"/>
      <c r="H310" s="144" t="str">
        <f t="shared" si="36"/>
        <v/>
      </c>
      <c r="I310" s="182"/>
      <c r="J310" s="182"/>
      <c r="K310" s="182"/>
      <c r="M310" s="139" t="str">
        <f t="shared" si="37"/>
        <v/>
      </c>
      <c r="N310" s="139" t="str">
        <f t="shared" si="38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4"/>
        <v/>
      </c>
      <c r="E311" s="149"/>
      <c r="F311" s="144" t="str">
        <f t="shared" si="35"/>
        <v/>
      </c>
      <c r="G311" s="183"/>
      <c r="H311" s="144" t="str">
        <f t="shared" si="36"/>
        <v/>
      </c>
      <c r="I311" s="182"/>
      <c r="J311" s="182"/>
      <c r="K311" s="182"/>
      <c r="M311" s="139" t="str">
        <f t="shared" si="37"/>
        <v/>
      </c>
      <c r="N311" s="139" t="str">
        <f t="shared" si="38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4"/>
        <v/>
      </c>
      <c r="E312" s="149"/>
      <c r="F312" s="144" t="str">
        <f t="shared" si="35"/>
        <v/>
      </c>
      <c r="G312" s="183"/>
      <c r="H312" s="144" t="str">
        <f t="shared" si="36"/>
        <v/>
      </c>
      <c r="I312" s="182"/>
      <c r="J312" s="182"/>
      <c r="K312" s="182"/>
      <c r="M312" s="139" t="str">
        <f t="shared" si="37"/>
        <v/>
      </c>
      <c r="N312" s="139" t="str">
        <f t="shared" si="38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4"/>
        <v/>
      </c>
      <c r="E313" s="149"/>
      <c r="F313" s="144" t="str">
        <f t="shared" si="35"/>
        <v/>
      </c>
      <c r="G313" s="183"/>
      <c r="H313" s="144" t="str">
        <f t="shared" si="36"/>
        <v/>
      </c>
      <c r="I313" s="182"/>
      <c r="J313" s="182"/>
      <c r="K313" s="182"/>
      <c r="M313" s="139" t="str">
        <f t="shared" si="37"/>
        <v/>
      </c>
      <c r="N313" s="139" t="str">
        <f t="shared" si="38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4"/>
        <v/>
      </c>
      <c r="E314" s="149"/>
      <c r="F314" s="144" t="str">
        <f t="shared" si="35"/>
        <v/>
      </c>
      <c r="G314" s="183"/>
      <c r="H314" s="144" t="str">
        <f t="shared" si="36"/>
        <v/>
      </c>
      <c r="I314" s="182"/>
      <c r="J314" s="182"/>
      <c r="K314" s="182"/>
      <c r="M314" s="139" t="str">
        <f t="shared" si="37"/>
        <v/>
      </c>
      <c r="N314" s="139" t="str">
        <f t="shared" si="38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4"/>
        <v/>
      </c>
      <c r="E315" s="149"/>
      <c r="F315" s="144" t="str">
        <f t="shared" si="35"/>
        <v/>
      </c>
      <c r="G315" s="183"/>
      <c r="H315" s="144" t="str">
        <f t="shared" si="36"/>
        <v/>
      </c>
      <c r="I315" s="182"/>
      <c r="J315" s="182"/>
      <c r="K315" s="182"/>
      <c r="M315" s="139" t="str">
        <f t="shared" si="37"/>
        <v/>
      </c>
      <c r="N315" s="139" t="str">
        <f t="shared" si="38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4"/>
        <v/>
      </c>
      <c r="E316" s="149"/>
      <c r="F316" s="144" t="str">
        <f t="shared" si="35"/>
        <v/>
      </c>
      <c r="G316" s="183"/>
      <c r="H316" s="144" t="str">
        <f t="shared" si="36"/>
        <v/>
      </c>
      <c r="I316" s="182"/>
      <c r="J316" s="182"/>
      <c r="K316" s="182"/>
      <c r="M316" s="139" t="str">
        <f t="shared" si="37"/>
        <v/>
      </c>
      <c r="N316" s="139" t="str">
        <f t="shared" si="38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4"/>
        <v/>
      </c>
      <c r="E317" s="149"/>
      <c r="F317" s="144" t="str">
        <f t="shared" si="35"/>
        <v/>
      </c>
      <c r="G317" s="183"/>
      <c r="H317" s="144" t="str">
        <f t="shared" si="36"/>
        <v/>
      </c>
      <c r="I317" s="182"/>
      <c r="J317" s="182"/>
      <c r="K317" s="182"/>
      <c r="M317" s="139" t="str">
        <f t="shared" si="37"/>
        <v/>
      </c>
      <c r="N317" s="139" t="str">
        <f t="shared" si="38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4"/>
        <v/>
      </c>
      <c r="E318" s="149"/>
      <c r="F318" s="144" t="str">
        <f t="shared" si="35"/>
        <v/>
      </c>
      <c r="G318" s="183"/>
      <c r="H318" s="144" t="str">
        <f t="shared" si="36"/>
        <v/>
      </c>
      <c r="I318" s="182"/>
      <c r="J318" s="182"/>
      <c r="K318" s="182"/>
      <c r="M318" s="139" t="str">
        <f t="shared" si="37"/>
        <v/>
      </c>
      <c r="N318" s="139" t="str">
        <f t="shared" si="38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4"/>
        <v/>
      </c>
      <c r="E319" s="149"/>
      <c r="F319" s="144" t="str">
        <f t="shared" si="35"/>
        <v/>
      </c>
      <c r="G319" s="183"/>
      <c r="H319" s="144" t="str">
        <f t="shared" si="36"/>
        <v/>
      </c>
      <c r="I319" s="182"/>
      <c r="J319" s="182"/>
      <c r="K319" s="182"/>
      <c r="M319" s="139" t="str">
        <f t="shared" si="37"/>
        <v/>
      </c>
      <c r="N319" s="139" t="str">
        <f t="shared" si="38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4"/>
        <v/>
      </c>
      <c r="E320" s="149"/>
      <c r="F320" s="144" t="str">
        <f t="shared" si="35"/>
        <v/>
      </c>
      <c r="G320" s="183"/>
      <c r="H320" s="144" t="str">
        <f t="shared" si="36"/>
        <v/>
      </c>
      <c r="I320" s="182"/>
      <c r="J320" s="182"/>
      <c r="K320" s="182"/>
      <c r="M320" s="139" t="str">
        <f t="shared" si="37"/>
        <v/>
      </c>
      <c r="N320" s="139" t="str">
        <f t="shared" si="38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4"/>
        <v/>
      </c>
      <c r="E321" s="149"/>
      <c r="F321" s="144" t="str">
        <f t="shared" si="35"/>
        <v/>
      </c>
      <c r="G321" s="183"/>
      <c r="H321" s="144" t="str">
        <f t="shared" si="36"/>
        <v/>
      </c>
      <c r="I321" s="182"/>
      <c r="J321" s="182"/>
      <c r="K321" s="182"/>
      <c r="M321" s="139" t="str">
        <f t="shared" si="37"/>
        <v/>
      </c>
      <c r="N321" s="139" t="str">
        <f t="shared" si="38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4"/>
        <v/>
      </c>
      <c r="E322" s="149"/>
      <c r="F322" s="144" t="str">
        <f t="shared" si="35"/>
        <v/>
      </c>
      <c r="G322" s="183"/>
      <c r="H322" s="144" t="str">
        <f t="shared" si="36"/>
        <v/>
      </c>
      <c r="I322" s="182"/>
      <c r="J322" s="182"/>
      <c r="K322" s="182"/>
      <c r="M322" s="139" t="str">
        <f t="shared" si="37"/>
        <v/>
      </c>
      <c r="N322" s="139" t="str">
        <f t="shared" si="38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ref="D323:D386" si="39">IFERROR(VLOOKUP(C323,$O$6:$P$23,2,FALSE),"")</f>
        <v/>
      </c>
      <c r="E323" s="149"/>
      <c r="F323" s="144" t="str">
        <f t="shared" ref="F323:F386" si="40">IFERROR(VLOOKUP(E323,$R$5:$T$129,2,FALSE),"")</f>
        <v/>
      </c>
      <c r="G323" s="183"/>
      <c r="H323" s="144" t="str">
        <f t="shared" si="36"/>
        <v/>
      </c>
      <c r="I323" s="182"/>
      <c r="J323" s="182"/>
      <c r="K323" s="182"/>
      <c r="M323" s="139" t="str">
        <f t="shared" si="37"/>
        <v/>
      </c>
      <c r="N323" s="139" t="str">
        <f t="shared" si="38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si="39"/>
        <v/>
      </c>
      <c r="E324" s="149"/>
      <c r="F324" s="144" t="str">
        <f t="shared" si="40"/>
        <v/>
      </c>
      <c r="G324" s="183"/>
      <c r="H324" s="144" t="str">
        <f t="shared" ref="H324:H387" si="41">IFERROR(VLOOKUP(G324,$X$6:$Y$297,2,FALSE),"")</f>
        <v/>
      </c>
      <c r="I324" s="182"/>
      <c r="J324" s="182"/>
      <c r="K324" s="182"/>
      <c r="M324" s="139" t="str">
        <f t="shared" ref="M324:M387" si="42">LEFT(E324,3)</f>
        <v/>
      </c>
      <c r="N324" s="139" t="str">
        <f t="shared" ref="N324:N387" si="43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9"/>
        <v/>
      </c>
      <c r="E325" s="149"/>
      <c r="F325" s="144" t="str">
        <f t="shared" si="40"/>
        <v/>
      </c>
      <c r="G325" s="183"/>
      <c r="H325" s="144" t="str">
        <f t="shared" si="41"/>
        <v/>
      </c>
      <c r="I325" s="182"/>
      <c r="J325" s="182"/>
      <c r="K325" s="182"/>
      <c r="M325" s="139" t="str">
        <f t="shared" si="42"/>
        <v/>
      </c>
      <c r="N325" s="139" t="str">
        <f t="shared" si="43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9"/>
        <v/>
      </c>
      <c r="E326" s="149"/>
      <c r="F326" s="144" t="str">
        <f t="shared" si="40"/>
        <v/>
      </c>
      <c r="G326" s="183"/>
      <c r="H326" s="144" t="str">
        <f t="shared" si="41"/>
        <v/>
      </c>
      <c r="I326" s="182"/>
      <c r="J326" s="182"/>
      <c r="K326" s="182"/>
      <c r="M326" s="139" t="str">
        <f t="shared" si="42"/>
        <v/>
      </c>
      <c r="N326" s="139" t="str">
        <f t="shared" si="43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9"/>
        <v/>
      </c>
      <c r="E327" s="149"/>
      <c r="F327" s="144" t="str">
        <f t="shared" si="40"/>
        <v/>
      </c>
      <c r="G327" s="183"/>
      <c r="H327" s="144" t="str">
        <f t="shared" si="41"/>
        <v/>
      </c>
      <c r="I327" s="182"/>
      <c r="J327" s="182"/>
      <c r="K327" s="182"/>
      <c r="M327" s="139" t="str">
        <f t="shared" si="42"/>
        <v/>
      </c>
      <c r="N327" s="139" t="str">
        <f t="shared" si="43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9"/>
        <v/>
      </c>
      <c r="E328" s="149"/>
      <c r="F328" s="144" t="str">
        <f t="shared" si="40"/>
        <v/>
      </c>
      <c r="G328" s="183"/>
      <c r="H328" s="144" t="str">
        <f t="shared" si="41"/>
        <v/>
      </c>
      <c r="I328" s="182"/>
      <c r="J328" s="182"/>
      <c r="K328" s="182"/>
      <c r="M328" s="139" t="str">
        <f t="shared" si="42"/>
        <v/>
      </c>
      <c r="N328" s="139" t="str">
        <f t="shared" si="43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9"/>
        <v/>
      </c>
      <c r="E329" s="149"/>
      <c r="F329" s="144" t="str">
        <f t="shared" si="40"/>
        <v/>
      </c>
      <c r="G329" s="183"/>
      <c r="H329" s="144" t="str">
        <f t="shared" si="41"/>
        <v/>
      </c>
      <c r="I329" s="182"/>
      <c r="J329" s="182"/>
      <c r="K329" s="182"/>
      <c r="M329" s="139" t="str">
        <f t="shared" si="42"/>
        <v/>
      </c>
      <c r="N329" s="139" t="str">
        <f t="shared" si="43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9"/>
        <v/>
      </c>
      <c r="E330" s="149"/>
      <c r="F330" s="144" t="str">
        <f t="shared" si="40"/>
        <v/>
      </c>
      <c r="G330" s="183"/>
      <c r="H330" s="144" t="str">
        <f t="shared" si="41"/>
        <v/>
      </c>
      <c r="I330" s="182"/>
      <c r="J330" s="182"/>
      <c r="K330" s="182"/>
      <c r="M330" s="139" t="str">
        <f t="shared" si="42"/>
        <v/>
      </c>
      <c r="N330" s="139" t="str">
        <f t="shared" si="43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9"/>
        <v/>
      </c>
      <c r="E331" s="149"/>
      <c r="F331" s="144" t="str">
        <f t="shared" si="40"/>
        <v/>
      </c>
      <c r="G331" s="183"/>
      <c r="H331" s="144" t="str">
        <f t="shared" si="41"/>
        <v/>
      </c>
      <c r="I331" s="182"/>
      <c r="J331" s="182"/>
      <c r="K331" s="182"/>
      <c r="M331" s="139" t="str">
        <f t="shared" si="42"/>
        <v/>
      </c>
      <c r="N331" s="139" t="str">
        <f t="shared" si="43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9"/>
        <v/>
      </c>
      <c r="E332" s="149"/>
      <c r="F332" s="144" t="str">
        <f t="shared" si="40"/>
        <v/>
      </c>
      <c r="G332" s="183"/>
      <c r="H332" s="144" t="str">
        <f t="shared" si="41"/>
        <v/>
      </c>
      <c r="I332" s="182"/>
      <c r="J332" s="182"/>
      <c r="K332" s="182"/>
      <c r="M332" s="139" t="str">
        <f t="shared" si="42"/>
        <v/>
      </c>
      <c r="N332" s="139" t="str">
        <f t="shared" si="43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9"/>
        <v/>
      </c>
      <c r="E333" s="149"/>
      <c r="F333" s="144" t="str">
        <f t="shared" si="40"/>
        <v/>
      </c>
      <c r="G333" s="183"/>
      <c r="H333" s="144" t="str">
        <f t="shared" si="41"/>
        <v/>
      </c>
      <c r="I333" s="182"/>
      <c r="J333" s="182"/>
      <c r="K333" s="182"/>
      <c r="M333" s="139" t="str">
        <f t="shared" si="42"/>
        <v/>
      </c>
      <c r="N333" s="139" t="str">
        <f t="shared" si="43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9"/>
        <v/>
      </c>
      <c r="E334" s="149"/>
      <c r="F334" s="144" t="str">
        <f t="shared" si="40"/>
        <v/>
      </c>
      <c r="G334" s="183"/>
      <c r="H334" s="144" t="str">
        <f t="shared" si="41"/>
        <v/>
      </c>
      <c r="I334" s="182"/>
      <c r="J334" s="182"/>
      <c r="K334" s="182"/>
      <c r="M334" s="139" t="str">
        <f t="shared" si="42"/>
        <v/>
      </c>
      <c r="N334" s="139" t="str">
        <f t="shared" si="43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9"/>
        <v/>
      </c>
      <c r="E335" s="149"/>
      <c r="F335" s="144" t="str">
        <f t="shared" si="40"/>
        <v/>
      </c>
      <c r="G335" s="183"/>
      <c r="H335" s="144" t="str">
        <f t="shared" si="41"/>
        <v/>
      </c>
      <c r="I335" s="182"/>
      <c r="J335" s="182"/>
      <c r="K335" s="182"/>
      <c r="M335" s="139" t="str">
        <f t="shared" si="42"/>
        <v/>
      </c>
      <c r="N335" s="139" t="str">
        <f t="shared" si="43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9"/>
        <v/>
      </c>
      <c r="E336" s="149"/>
      <c r="F336" s="144" t="str">
        <f t="shared" si="40"/>
        <v/>
      </c>
      <c r="G336" s="183"/>
      <c r="H336" s="144" t="str">
        <f t="shared" si="41"/>
        <v/>
      </c>
      <c r="I336" s="182"/>
      <c r="J336" s="182"/>
      <c r="K336" s="182"/>
      <c r="M336" s="139" t="str">
        <f t="shared" si="42"/>
        <v/>
      </c>
      <c r="N336" s="139" t="str">
        <f t="shared" si="43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9"/>
        <v/>
      </c>
      <c r="E337" s="149"/>
      <c r="F337" s="144" t="str">
        <f t="shared" si="40"/>
        <v/>
      </c>
      <c r="G337" s="183"/>
      <c r="H337" s="144" t="str">
        <f t="shared" si="41"/>
        <v/>
      </c>
      <c r="I337" s="182"/>
      <c r="J337" s="182"/>
      <c r="K337" s="182"/>
      <c r="M337" s="139" t="str">
        <f t="shared" si="42"/>
        <v/>
      </c>
      <c r="N337" s="139" t="str">
        <f t="shared" si="43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9"/>
        <v/>
      </c>
      <c r="E338" s="149"/>
      <c r="F338" s="144" t="str">
        <f t="shared" si="40"/>
        <v/>
      </c>
      <c r="G338" s="183"/>
      <c r="H338" s="144" t="str">
        <f t="shared" si="41"/>
        <v/>
      </c>
      <c r="I338" s="182"/>
      <c r="J338" s="182"/>
      <c r="K338" s="182"/>
      <c r="M338" s="139" t="str">
        <f t="shared" si="42"/>
        <v/>
      </c>
      <c r="N338" s="139" t="str">
        <f t="shared" si="43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9"/>
        <v/>
      </c>
      <c r="E339" s="149"/>
      <c r="F339" s="144" t="str">
        <f t="shared" si="40"/>
        <v/>
      </c>
      <c r="G339" s="183"/>
      <c r="H339" s="144" t="str">
        <f t="shared" si="41"/>
        <v/>
      </c>
      <c r="I339" s="182"/>
      <c r="J339" s="182"/>
      <c r="K339" s="182"/>
      <c r="M339" s="139" t="str">
        <f t="shared" si="42"/>
        <v/>
      </c>
      <c r="N339" s="139" t="str">
        <f t="shared" si="43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9"/>
        <v/>
      </c>
      <c r="E340" s="149"/>
      <c r="F340" s="144" t="str">
        <f t="shared" si="40"/>
        <v/>
      </c>
      <c r="G340" s="183"/>
      <c r="H340" s="144" t="str">
        <f t="shared" si="41"/>
        <v/>
      </c>
      <c r="I340" s="182"/>
      <c r="J340" s="182"/>
      <c r="K340" s="182"/>
      <c r="M340" s="139" t="str">
        <f t="shared" si="42"/>
        <v/>
      </c>
      <c r="N340" s="139" t="str">
        <f t="shared" si="43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9"/>
        <v/>
      </c>
      <c r="E341" s="149"/>
      <c r="F341" s="144" t="str">
        <f t="shared" si="40"/>
        <v/>
      </c>
      <c r="G341" s="183"/>
      <c r="H341" s="144" t="str">
        <f t="shared" si="41"/>
        <v/>
      </c>
      <c r="I341" s="182"/>
      <c r="J341" s="182"/>
      <c r="K341" s="182"/>
      <c r="M341" s="139" t="str">
        <f t="shared" si="42"/>
        <v/>
      </c>
      <c r="N341" s="139" t="str">
        <f t="shared" si="43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9"/>
        <v/>
      </c>
      <c r="E342" s="149"/>
      <c r="F342" s="144" t="str">
        <f t="shared" si="40"/>
        <v/>
      </c>
      <c r="G342" s="183"/>
      <c r="H342" s="144" t="str">
        <f t="shared" si="41"/>
        <v/>
      </c>
      <c r="I342" s="182"/>
      <c r="J342" s="182"/>
      <c r="K342" s="182"/>
      <c r="M342" s="139" t="str">
        <f t="shared" si="42"/>
        <v/>
      </c>
      <c r="N342" s="139" t="str">
        <f t="shared" si="43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9"/>
        <v/>
      </c>
      <c r="E343" s="149"/>
      <c r="F343" s="144" t="str">
        <f t="shared" si="40"/>
        <v/>
      </c>
      <c r="G343" s="183"/>
      <c r="H343" s="144" t="str">
        <f t="shared" si="41"/>
        <v/>
      </c>
      <c r="I343" s="182"/>
      <c r="J343" s="182"/>
      <c r="K343" s="182"/>
      <c r="M343" s="139" t="str">
        <f t="shared" si="42"/>
        <v/>
      </c>
      <c r="N343" s="139" t="str">
        <f t="shared" si="43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9"/>
        <v/>
      </c>
      <c r="E344" s="149"/>
      <c r="F344" s="144" t="str">
        <f t="shared" si="40"/>
        <v/>
      </c>
      <c r="G344" s="183"/>
      <c r="H344" s="144" t="str">
        <f t="shared" si="41"/>
        <v/>
      </c>
      <c r="I344" s="182"/>
      <c r="J344" s="182"/>
      <c r="K344" s="182"/>
      <c r="M344" s="139" t="str">
        <f t="shared" si="42"/>
        <v/>
      </c>
      <c r="N344" s="139" t="str">
        <f t="shared" si="43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9"/>
        <v/>
      </c>
      <c r="E345" s="149"/>
      <c r="F345" s="144" t="str">
        <f t="shared" si="40"/>
        <v/>
      </c>
      <c r="G345" s="183"/>
      <c r="H345" s="144" t="str">
        <f t="shared" si="41"/>
        <v/>
      </c>
      <c r="I345" s="182"/>
      <c r="J345" s="182"/>
      <c r="K345" s="182"/>
      <c r="M345" s="139" t="str">
        <f t="shared" si="42"/>
        <v/>
      </c>
      <c r="N345" s="139" t="str">
        <f t="shared" si="43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9"/>
        <v/>
      </c>
      <c r="E346" s="149"/>
      <c r="F346" s="144" t="str">
        <f t="shared" si="40"/>
        <v/>
      </c>
      <c r="G346" s="183"/>
      <c r="H346" s="144" t="str">
        <f t="shared" si="41"/>
        <v/>
      </c>
      <c r="I346" s="182"/>
      <c r="J346" s="182"/>
      <c r="K346" s="182"/>
      <c r="M346" s="139" t="str">
        <f t="shared" si="42"/>
        <v/>
      </c>
      <c r="N346" s="139" t="str">
        <f t="shared" si="43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9"/>
        <v/>
      </c>
      <c r="E347" s="149"/>
      <c r="F347" s="144" t="str">
        <f t="shared" si="40"/>
        <v/>
      </c>
      <c r="G347" s="183"/>
      <c r="H347" s="144" t="str">
        <f t="shared" si="41"/>
        <v/>
      </c>
      <c r="I347" s="182"/>
      <c r="J347" s="182"/>
      <c r="K347" s="182"/>
      <c r="M347" s="139" t="str">
        <f t="shared" si="42"/>
        <v/>
      </c>
      <c r="N347" s="139" t="str">
        <f t="shared" si="43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9"/>
        <v/>
      </c>
      <c r="E348" s="149"/>
      <c r="F348" s="144" t="str">
        <f t="shared" si="40"/>
        <v/>
      </c>
      <c r="G348" s="183"/>
      <c r="H348" s="144" t="str">
        <f t="shared" si="41"/>
        <v/>
      </c>
      <c r="I348" s="182"/>
      <c r="J348" s="182"/>
      <c r="K348" s="182"/>
      <c r="M348" s="139" t="str">
        <f t="shared" si="42"/>
        <v/>
      </c>
      <c r="N348" s="139" t="str">
        <f t="shared" si="43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9"/>
        <v/>
      </c>
      <c r="E349" s="149"/>
      <c r="F349" s="144" t="str">
        <f t="shared" si="40"/>
        <v/>
      </c>
      <c r="G349" s="183"/>
      <c r="H349" s="144" t="str">
        <f t="shared" si="41"/>
        <v/>
      </c>
      <c r="I349" s="182"/>
      <c r="J349" s="182"/>
      <c r="K349" s="182"/>
      <c r="M349" s="139" t="str">
        <f t="shared" si="42"/>
        <v/>
      </c>
      <c r="N349" s="139" t="str">
        <f t="shared" si="43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9"/>
        <v/>
      </c>
      <c r="E350" s="149"/>
      <c r="F350" s="144" t="str">
        <f t="shared" si="40"/>
        <v/>
      </c>
      <c r="G350" s="183"/>
      <c r="H350" s="144" t="str">
        <f t="shared" si="41"/>
        <v/>
      </c>
      <c r="I350" s="182"/>
      <c r="J350" s="182"/>
      <c r="K350" s="182"/>
      <c r="M350" s="139" t="str">
        <f t="shared" si="42"/>
        <v/>
      </c>
      <c r="N350" s="139" t="str">
        <f t="shared" si="43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9"/>
        <v/>
      </c>
      <c r="E351" s="149"/>
      <c r="F351" s="144" t="str">
        <f t="shared" si="40"/>
        <v/>
      </c>
      <c r="G351" s="183"/>
      <c r="H351" s="144" t="str">
        <f t="shared" si="41"/>
        <v/>
      </c>
      <c r="I351" s="182"/>
      <c r="J351" s="182"/>
      <c r="K351" s="182"/>
      <c r="M351" s="139" t="str">
        <f t="shared" si="42"/>
        <v/>
      </c>
      <c r="N351" s="139" t="str">
        <f t="shared" si="43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9"/>
        <v/>
      </c>
      <c r="E352" s="149"/>
      <c r="F352" s="144" t="str">
        <f t="shared" si="40"/>
        <v/>
      </c>
      <c r="G352" s="183"/>
      <c r="H352" s="144" t="str">
        <f t="shared" si="41"/>
        <v/>
      </c>
      <c r="I352" s="182"/>
      <c r="J352" s="182"/>
      <c r="K352" s="182"/>
      <c r="M352" s="139" t="str">
        <f t="shared" si="42"/>
        <v/>
      </c>
      <c r="N352" s="139" t="str">
        <f t="shared" si="43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9"/>
        <v/>
      </c>
      <c r="E353" s="149"/>
      <c r="F353" s="144" t="str">
        <f t="shared" si="40"/>
        <v/>
      </c>
      <c r="G353" s="183"/>
      <c r="H353" s="144" t="str">
        <f t="shared" si="41"/>
        <v/>
      </c>
      <c r="I353" s="182"/>
      <c r="J353" s="182"/>
      <c r="K353" s="182"/>
      <c r="M353" s="139" t="str">
        <f t="shared" si="42"/>
        <v/>
      </c>
      <c r="N353" s="139" t="str">
        <f t="shared" si="43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9"/>
        <v/>
      </c>
      <c r="E354" s="149"/>
      <c r="F354" s="144" t="str">
        <f t="shared" si="40"/>
        <v/>
      </c>
      <c r="G354" s="183"/>
      <c r="H354" s="144" t="str">
        <f t="shared" si="41"/>
        <v/>
      </c>
      <c r="I354" s="182"/>
      <c r="J354" s="182"/>
      <c r="K354" s="182"/>
      <c r="M354" s="139" t="str">
        <f t="shared" si="42"/>
        <v/>
      </c>
      <c r="N354" s="139" t="str">
        <f t="shared" si="43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9"/>
        <v/>
      </c>
      <c r="E355" s="149"/>
      <c r="F355" s="144" t="str">
        <f t="shared" si="40"/>
        <v/>
      </c>
      <c r="G355" s="183"/>
      <c r="H355" s="144" t="str">
        <f t="shared" si="41"/>
        <v/>
      </c>
      <c r="I355" s="182"/>
      <c r="J355" s="182"/>
      <c r="K355" s="182"/>
      <c r="M355" s="139" t="str">
        <f t="shared" si="42"/>
        <v/>
      </c>
      <c r="N355" s="139" t="str">
        <f t="shared" si="43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9"/>
        <v/>
      </c>
      <c r="E356" s="149"/>
      <c r="F356" s="144" t="str">
        <f t="shared" si="40"/>
        <v/>
      </c>
      <c r="G356" s="183"/>
      <c r="H356" s="144" t="str">
        <f t="shared" si="41"/>
        <v/>
      </c>
      <c r="I356" s="182"/>
      <c r="J356" s="182"/>
      <c r="K356" s="182"/>
      <c r="M356" s="139" t="str">
        <f t="shared" si="42"/>
        <v/>
      </c>
      <c r="N356" s="139" t="str">
        <f t="shared" si="43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9"/>
        <v/>
      </c>
      <c r="E357" s="149"/>
      <c r="F357" s="144" t="str">
        <f t="shared" si="40"/>
        <v/>
      </c>
      <c r="G357" s="183"/>
      <c r="H357" s="144" t="str">
        <f t="shared" si="41"/>
        <v/>
      </c>
      <c r="I357" s="182"/>
      <c r="J357" s="182"/>
      <c r="K357" s="182"/>
      <c r="M357" s="139" t="str">
        <f t="shared" si="42"/>
        <v/>
      </c>
      <c r="N357" s="139" t="str">
        <f t="shared" si="43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9"/>
        <v/>
      </c>
      <c r="E358" s="149"/>
      <c r="F358" s="144" t="str">
        <f t="shared" si="40"/>
        <v/>
      </c>
      <c r="G358" s="183"/>
      <c r="H358" s="144" t="str">
        <f t="shared" si="41"/>
        <v/>
      </c>
      <c r="I358" s="182"/>
      <c r="J358" s="182"/>
      <c r="K358" s="182"/>
      <c r="M358" s="139" t="str">
        <f t="shared" si="42"/>
        <v/>
      </c>
      <c r="N358" s="139" t="str">
        <f t="shared" si="43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9"/>
        <v/>
      </c>
      <c r="E359" s="149"/>
      <c r="F359" s="144" t="str">
        <f t="shared" si="40"/>
        <v/>
      </c>
      <c r="G359" s="183"/>
      <c r="H359" s="144" t="str">
        <f t="shared" si="41"/>
        <v/>
      </c>
      <c r="I359" s="182"/>
      <c r="J359" s="182"/>
      <c r="K359" s="182"/>
      <c r="M359" s="139" t="str">
        <f t="shared" si="42"/>
        <v/>
      </c>
      <c r="N359" s="139" t="str">
        <f t="shared" si="43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9"/>
        <v/>
      </c>
      <c r="E360" s="149"/>
      <c r="F360" s="144" t="str">
        <f t="shared" si="40"/>
        <v/>
      </c>
      <c r="G360" s="183"/>
      <c r="H360" s="144" t="str">
        <f t="shared" si="41"/>
        <v/>
      </c>
      <c r="I360" s="182"/>
      <c r="J360" s="182"/>
      <c r="K360" s="182"/>
      <c r="M360" s="139" t="str">
        <f t="shared" si="42"/>
        <v/>
      </c>
      <c r="N360" s="139" t="str">
        <f t="shared" si="43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9"/>
        <v/>
      </c>
      <c r="E361" s="149"/>
      <c r="F361" s="144" t="str">
        <f t="shared" si="40"/>
        <v/>
      </c>
      <c r="G361" s="183"/>
      <c r="H361" s="144" t="str">
        <f t="shared" si="41"/>
        <v/>
      </c>
      <c r="I361" s="182"/>
      <c r="J361" s="182"/>
      <c r="K361" s="182"/>
      <c r="M361" s="139" t="str">
        <f t="shared" si="42"/>
        <v/>
      </c>
      <c r="N361" s="139" t="str">
        <f t="shared" si="43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9"/>
        <v/>
      </c>
      <c r="E362" s="149"/>
      <c r="F362" s="144" t="str">
        <f t="shared" si="40"/>
        <v/>
      </c>
      <c r="G362" s="183"/>
      <c r="H362" s="144" t="str">
        <f t="shared" si="41"/>
        <v/>
      </c>
      <c r="I362" s="182"/>
      <c r="J362" s="182"/>
      <c r="K362" s="182"/>
      <c r="M362" s="139" t="str">
        <f t="shared" si="42"/>
        <v/>
      </c>
      <c r="N362" s="139" t="str">
        <f t="shared" si="43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9"/>
        <v/>
      </c>
      <c r="E363" s="149"/>
      <c r="F363" s="144" t="str">
        <f t="shared" si="40"/>
        <v/>
      </c>
      <c r="G363" s="183"/>
      <c r="H363" s="144" t="str">
        <f t="shared" si="41"/>
        <v/>
      </c>
      <c r="I363" s="182"/>
      <c r="J363" s="182"/>
      <c r="K363" s="182"/>
      <c r="M363" s="139" t="str">
        <f t="shared" si="42"/>
        <v/>
      </c>
      <c r="N363" s="139" t="str">
        <f t="shared" si="43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9"/>
        <v/>
      </c>
      <c r="E364" s="149"/>
      <c r="F364" s="144" t="str">
        <f t="shared" si="40"/>
        <v/>
      </c>
      <c r="G364" s="183"/>
      <c r="H364" s="144" t="str">
        <f t="shared" si="41"/>
        <v/>
      </c>
      <c r="I364" s="182"/>
      <c r="J364" s="182"/>
      <c r="K364" s="182"/>
      <c r="M364" s="139" t="str">
        <f t="shared" si="42"/>
        <v/>
      </c>
      <c r="N364" s="139" t="str">
        <f t="shared" si="43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9"/>
        <v/>
      </c>
      <c r="E365" s="149"/>
      <c r="F365" s="144" t="str">
        <f t="shared" si="40"/>
        <v/>
      </c>
      <c r="G365" s="183"/>
      <c r="H365" s="144" t="str">
        <f t="shared" si="41"/>
        <v/>
      </c>
      <c r="I365" s="182"/>
      <c r="J365" s="182"/>
      <c r="K365" s="182"/>
      <c r="M365" s="139" t="str">
        <f t="shared" si="42"/>
        <v/>
      </c>
      <c r="N365" s="139" t="str">
        <f t="shared" si="43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9"/>
        <v/>
      </c>
      <c r="E366" s="149"/>
      <c r="F366" s="144" t="str">
        <f t="shared" si="40"/>
        <v/>
      </c>
      <c r="G366" s="183"/>
      <c r="H366" s="144" t="str">
        <f t="shared" si="41"/>
        <v/>
      </c>
      <c r="I366" s="182"/>
      <c r="J366" s="182"/>
      <c r="K366" s="182"/>
      <c r="M366" s="139" t="str">
        <f t="shared" si="42"/>
        <v/>
      </c>
      <c r="N366" s="139" t="str">
        <f t="shared" si="43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9"/>
        <v/>
      </c>
      <c r="E367" s="149"/>
      <c r="F367" s="144" t="str">
        <f t="shared" si="40"/>
        <v/>
      </c>
      <c r="G367" s="183"/>
      <c r="H367" s="144" t="str">
        <f t="shared" si="41"/>
        <v/>
      </c>
      <c r="I367" s="182"/>
      <c r="J367" s="182"/>
      <c r="K367" s="182"/>
      <c r="M367" s="139" t="str">
        <f t="shared" si="42"/>
        <v/>
      </c>
      <c r="N367" s="139" t="str">
        <f t="shared" si="43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9"/>
        <v/>
      </c>
      <c r="E368" s="149"/>
      <c r="F368" s="144" t="str">
        <f t="shared" si="40"/>
        <v/>
      </c>
      <c r="G368" s="183"/>
      <c r="H368" s="144" t="str">
        <f t="shared" si="41"/>
        <v/>
      </c>
      <c r="I368" s="182"/>
      <c r="J368" s="182"/>
      <c r="K368" s="182"/>
      <c r="M368" s="139" t="str">
        <f t="shared" si="42"/>
        <v/>
      </c>
      <c r="N368" s="139" t="str">
        <f t="shared" si="43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9"/>
        <v/>
      </c>
      <c r="E369" s="149"/>
      <c r="F369" s="144" t="str">
        <f t="shared" si="40"/>
        <v/>
      </c>
      <c r="G369" s="183"/>
      <c r="H369" s="144" t="str">
        <f t="shared" si="41"/>
        <v/>
      </c>
      <c r="I369" s="182"/>
      <c r="J369" s="182"/>
      <c r="K369" s="182"/>
      <c r="M369" s="139" t="str">
        <f t="shared" si="42"/>
        <v/>
      </c>
      <c r="N369" s="139" t="str">
        <f t="shared" si="43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9"/>
        <v/>
      </c>
      <c r="E370" s="149"/>
      <c r="F370" s="144" t="str">
        <f t="shared" si="40"/>
        <v/>
      </c>
      <c r="G370" s="183"/>
      <c r="H370" s="144" t="str">
        <f t="shared" si="41"/>
        <v/>
      </c>
      <c r="I370" s="182"/>
      <c r="J370" s="182"/>
      <c r="K370" s="182"/>
      <c r="M370" s="139" t="str">
        <f t="shared" si="42"/>
        <v/>
      </c>
      <c r="N370" s="139" t="str">
        <f t="shared" si="43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9"/>
        <v/>
      </c>
      <c r="E371" s="149"/>
      <c r="F371" s="144" t="str">
        <f t="shared" si="40"/>
        <v/>
      </c>
      <c r="G371" s="183"/>
      <c r="H371" s="144" t="str">
        <f t="shared" si="41"/>
        <v/>
      </c>
      <c r="I371" s="182"/>
      <c r="J371" s="182"/>
      <c r="K371" s="182"/>
      <c r="M371" s="139" t="str">
        <f t="shared" si="42"/>
        <v/>
      </c>
      <c r="N371" s="139" t="str">
        <f t="shared" si="43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9"/>
        <v/>
      </c>
      <c r="E372" s="149"/>
      <c r="F372" s="144" t="str">
        <f t="shared" si="40"/>
        <v/>
      </c>
      <c r="G372" s="183"/>
      <c r="H372" s="144" t="str">
        <f t="shared" si="41"/>
        <v/>
      </c>
      <c r="I372" s="182"/>
      <c r="J372" s="182"/>
      <c r="K372" s="182"/>
      <c r="M372" s="139" t="str">
        <f t="shared" si="42"/>
        <v/>
      </c>
      <c r="N372" s="139" t="str">
        <f t="shared" si="43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9"/>
        <v/>
      </c>
      <c r="E373" s="149"/>
      <c r="F373" s="144" t="str">
        <f t="shared" si="40"/>
        <v/>
      </c>
      <c r="G373" s="183"/>
      <c r="H373" s="144" t="str">
        <f t="shared" si="41"/>
        <v/>
      </c>
      <c r="I373" s="182"/>
      <c r="J373" s="182"/>
      <c r="K373" s="182"/>
      <c r="M373" s="139" t="str">
        <f t="shared" si="42"/>
        <v/>
      </c>
      <c r="N373" s="139" t="str">
        <f t="shared" si="43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9"/>
        <v/>
      </c>
      <c r="E374" s="149"/>
      <c r="F374" s="144" t="str">
        <f t="shared" si="40"/>
        <v/>
      </c>
      <c r="G374" s="183"/>
      <c r="H374" s="144" t="str">
        <f t="shared" si="41"/>
        <v/>
      </c>
      <c r="I374" s="182"/>
      <c r="J374" s="182"/>
      <c r="K374" s="182"/>
      <c r="M374" s="139" t="str">
        <f t="shared" si="42"/>
        <v/>
      </c>
      <c r="N374" s="139" t="str">
        <f t="shared" si="43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9"/>
        <v/>
      </c>
      <c r="E375" s="149"/>
      <c r="F375" s="144" t="str">
        <f t="shared" si="40"/>
        <v/>
      </c>
      <c r="G375" s="183"/>
      <c r="H375" s="144" t="str">
        <f t="shared" si="41"/>
        <v/>
      </c>
      <c r="I375" s="182"/>
      <c r="J375" s="182"/>
      <c r="K375" s="182"/>
      <c r="M375" s="139" t="str">
        <f t="shared" si="42"/>
        <v/>
      </c>
      <c r="N375" s="139" t="str">
        <f t="shared" si="43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9"/>
        <v/>
      </c>
      <c r="E376" s="149"/>
      <c r="F376" s="144" t="str">
        <f t="shared" si="40"/>
        <v/>
      </c>
      <c r="G376" s="183"/>
      <c r="H376" s="144" t="str">
        <f t="shared" si="41"/>
        <v/>
      </c>
      <c r="I376" s="182"/>
      <c r="J376" s="182"/>
      <c r="K376" s="182"/>
      <c r="M376" s="139" t="str">
        <f t="shared" si="42"/>
        <v/>
      </c>
      <c r="N376" s="139" t="str">
        <f t="shared" si="43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9"/>
        <v/>
      </c>
      <c r="E377" s="149"/>
      <c r="F377" s="144" t="str">
        <f t="shared" si="40"/>
        <v/>
      </c>
      <c r="G377" s="183"/>
      <c r="H377" s="144" t="str">
        <f t="shared" si="41"/>
        <v/>
      </c>
      <c r="I377" s="182"/>
      <c r="J377" s="182"/>
      <c r="K377" s="182"/>
      <c r="M377" s="139" t="str">
        <f t="shared" si="42"/>
        <v/>
      </c>
      <c r="N377" s="139" t="str">
        <f t="shared" si="43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9"/>
        <v/>
      </c>
      <c r="E378" s="149"/>
      <c r="F378" s="144" t="str">
        <f t="shared" si="40"/>
        <v/>
      </c>
      <c r="G378" s="183"/>
      <c r="H378" s="144" t="str">
        <f t="shared" si="41"/>
        <v/>
      </c>
      <c r="I378" s="182"/>
      <c r="J378" s="182"/>
      <c r="K378" s="182"/>
      <c r="M378" s="139" t="str">
        <f t="shared" si="42"/>
        <v/>
      </c>
      <c r="N378" s="139" t="str">
        <f t="shared" si="43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9"/>
        <v/>
      </c>
      <c r="E379" s="149"/>
      <c r="F379" s="144" t="str">
        <f t="shared" si="40"/>
        <v/>
      </c>
      <c r="G379" s="183"/>
      <c r="H379" s="144" t="str">
        <f t="shared" si="41"/>
        <v/>
      </c>
      <c r="I379" s="182"/>
      <c r="J379" s="182"/>
      <c r="K379" s="182"/>
      <c r="M379" s="139" t="str">
        <f t="shared" si="42"/>
        <v/>
      </c>
      <c r="N379" s="139" t="str">
        <f t="shared" si="43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9"/>
        <v/>
      </c>
      <c r="E380" s="149"/>
      <c r="F380" s="144" t="str">
        <f t="shared" si="40"/>
        <v/>
      </c>
      <c r="G380" s="183"/>
      <c r="H380" s="144" t="str">
        <f t="shared" si="41"/>
        <v/>
      </c>
      <c r="I380" s="182"/>
      <c r="J380" s="182"/>
      <c r="K380" s="182"/>
      <c r="M380" s="139" t="str">
        <f t="shared" si="42"/>
        <v/>
      </c>
      <c r="N380" s="139" t="str">
        <f t="shared" si="43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9"/>
        <v/>
      </c>
      <c r="E381" s="149"/>
      <c r="F381" s="144" t="str">
        <f t="shared" si="40"/>
        <v/>
      </c>
      <c r="G381" s="183"/>
      <c r="H381" s="144" t="str">
        <f t="shared" si="41"/>
        <v/>
      </c>
      <c r="I381" s="182"/>
      <c r="J381" s="182"/>
      <c r="K381" s="182"/>
      <c r="M381" s="139" t="str">
        <f t="shared" si="42"/>
        <v/>
      </c>
      <c r="N381" s="139" t="str">
        <f t="shared" si="43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9"/>
        <v/>
      </c>
      <c r="E382" s="149"/>
      <c r="F382" s="144" t="str">
        <f t="shared" si="40"/>
        <v/>
      </c>
      <c r="G382" s="183"/>
      <c r="H382" s="144" t="str">
        <f t="shared" si="41"/>
        <v/>
      </c>
      <c r="I382" s="182"/>
      <c r="J382" s="182"/>
      <c r="K382" s="182"/>
      <c r="M382" s="139" t="str">
        <f t="shared" si="42"/>
        <v/>
      </c>
      <c r="N382" s="139" t="str">
        <f t="shared" si="43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9"/>
        <v/>
      </c>
      <c r="E383" s="149"/>
      <c r="F383" s="144" t="str">
        <f t="shared" si="40"/>
        <v/>
      </c>
      <c r="G383" s="183"/>
      <c r="H383" s="144" t="str">
        <f t="shared" si="41"/>
        <v/>
      </c>
      <c r="I383" s="182"/>
      <c r="J383" s="182"/>
      <c r="K383" s="182"/>
      <c r="M383" s="139" t="str">
        <f t="shared" si="42"/>
        <v/>
      </c>
      <c r="N383" s="139" t="str">
        <f t="shared" si="43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9"/>
        <v/>
      </c>
      <c r="E384" s="149"/>
      <c r="F384" s="144" t="str">
        <f t="shared" si="40"/>
        <v/>
      </c>
      <c r="G384" s="183"/>
      <c r="H384" s="144" t="str">
        <f t="shared" si="41"/>
        <v/>
      </c>
      <c r="I384" s="182"/>
      <c r="J384" s="182"/>
      <c r="K384" s="182"/>
      <c r="M384" s="139" t="str">
        <f t="shared" si="42"/>
        <v/>
      </c>
      <c r="N384" s="139" t="str">
        <f t="shared" si="43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9"/>
        <v/>
      </c>
      <c r="E385" s="149"/>
      <c r="F385" s="144" t="str">
        <f t="shared" si="40"/>
        <v/>
      </c>
      <c r="G385" s="183"/>
      <c r="H385" s="144" t="str">
        <f t="shared" si="41"/>
        <v/>
      </c>
      <c r="I385" s="182"/>
      <c r="J385" s="182"/>
      <c r="K385" s="182"/>
      <c r="M385" s="139" t="str">
        <f t="shared" si="42"/>
        <v/>
      </c>
      <c r="N385" s="139" t="str">
        <f t="shared" si="43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9"/>
        <v/>
      </c>
      <c r="E386" s="149"/>
      <c r="F386" s="144" t="str">
        <f t="shared" si="40"/>
        <v/>
      </c>
      <c r="G386" s="183"/>
      <c r="H386" s="144" t="str">
        <f t="shared" si="41"/>
        <v/>
      </c>
      <c r="I386" s="182"/>
      <c r="J386" s="182"/>
      <c r="K386" s="182"/>
      <c r="M386" s="139" t="str">
        <f t="shared" si="42"/>
        <v/>
      </c>
      <c r="N386" s="139" t="str">
        <f t="shared" si="43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ref="D387:D450" si="44">IFERROR(VLOOKUP(C387,$O$6:$P$23,2,FALSE),"")</f>
        <v/>
      </c>
      <c r="E387" s="149"/>
      <c r="F387" s="144" t="str">
        <f t="shared" ref="F387:F450" si="45">IFERROR(VLOOKUP(E387,$R$5:$T$129,2,FALSE),"")</f>
        <v/>
      </c>
      <c r="G387" s="183"/>
      <c r="H387" s="144" t="str">
        <f t="shared" si="41"/>
        <v/>
      </c>
      <c r="I387" s="182"/>
      <c r="J387" s="182"/>
      <c r="K387" s="182"/>
      <c r="M387" s="139" t="str">
        <f t="shared" si="42"/>
        <v/>
      </c>
      <c r="N387" s="139" t="str">
        <f t="shared" si="43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si="44"/>
        <v/>
      </c>
      <c r="E388" s="149"/>
      <c r="F388" s="144" t="str">
        <f t="shared" si="45"/>
        <v/>
      </c>
      <c r="G388" s="183"/>
      <c r="H388" s="144" t="str">
        <f t="shared" ref="H388:H451" si="46">IFERROR(VLOOKUP(G388,$X$6:$Y$297,2,FALSE),"")</f>
        <v/>
      </c>
      <c r="I388" s="182"/>
      <c r="J388" s="182"/>
      <c r="K388" s="182"/>
      <c r="M388" s="139" t="str">
        <f t="shared" ref="M388:M451" si="47">LEFT(E388,3)</f>
        <v/>
      </c>
      <c r="N388" s="139" t="str">
        <f t="shared" ref="N388:N451" si="48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4"/>
        <v/>
      </c>
      <c r="E389" s="149"/>
      <c r="F389" s="144" t="str">
        <f t="shared" si="45"/>
        <v/>
      </c>
      <c r="G389" s="183"/>
      <c r="H389" s="144" t="str">
        <f t="shared" si="46"/>
        <v/>
      </c>
      <c r="I389" s="182"/>
      <c r="J389" s="182"/>
      <c r="K389" s="182"/>
      <c r="M389" s="139" t="str">
        <f t="shared" si="47"/>
        <v/>
      </c>
      <c r="N389" s="139" t="str">
        <f t="shared" si="48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4"/>
        <v/>
      </c>
      <c r="E390" s="149"/>
      <c r="F390" s="144" t="str">
        <f t="shared" si="45"/>
        <v/>
      </c>
      <c r="G390" s="183"/>
      <c r="H390" s="144" t="str">
        <f t="shared" si="46"/>
        <v/>
      </c>
      <c r="I390" s="182"/>
      <c r="J390" s="182"/>
      <c r="K390" s="182"/>
      <c r="M390" s="139" t="str">
        <f t="shared" si="47"/>
        <v/>
      </c>
      <c r="N390" s="139" t="str">
        <f t="shared" si="48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4"/>
        <v/>
      </c>
      <c r="E391" s="149"/>
      <c r="F391" s="144" t="str">
        <f t="shared" si="45"/>
        <v/>
      </c>
      <c r="G391" s="183"/>
      <c r="H391" s="144" t="str">
        <f t="shared" si="46"/>
        <v/>
      </c>
      <c r="I391" s="182"/>
      <c r="J391" s="182"/>
      <c r="K391" s="182"/>
      <c r="M391" s="139" t="str">
        <f t="shared" si="47"/>
        <v/>
      </c>
      <c r="N391" s="139" t="str">
        <f t="shared" si="48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4"/>
        <v/>
      </c>
      <c r="E392" s="149"/>
      <c r="F392" s="144" t="str">
        <f t="shared" si="45"/>
        <v/>
      </c>
      <c r="G392" s="183"/>
      <c r="H392" s="144" t="str">
        <f t="shared" si="46"/>
        <v/>
      </c>
      <c r="I392" s="182"/>
      <c r="J392" s="182"/>
      <c r="K392" s="182"/>
      <c r="M392" s="139" t="str">
        <f t="shared" si="47"/>
        <v/>
      </c>
      <c r="N392" s="139" t="str">
        <f t="shared" si="48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4"/>
        <v/>
      </c>
      <c r="E393" s="149"/>
      <c r="F393" s="144" t="str">
        <f t="shared" si="45"/>
        <v/>
      </c>
      <c r="G393" s="183"/>
      <c r="H393" s="144" t="str">
        <f t="shared" si="46"/>
        <v/>
      </c>
      <c r="I393" s="182"/>
      <c r="J393" s="182"/>
      <c r="K393" s="182"/>
      <c r="M393" s="139" t="str">
        <f t="shared" si="47"/>
        <v/>
      </c>
      <c r="N393" s="139" t="str">
        <f t="shared" si="48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4"/>
        <v/>
      </c>
      <c r="E394" s="149"/>
      <c r="F394" s="144" t="str">
        <f t="shared" si="45"/>
        <v/>
      </c>
      <c r="G394" s="183"/>
      <c r="H394" s="144" t="str">
        <f t="shared" si="46"/>
        <v/>
      </c>
      <c r="I394" s="182"/>
      <c r="J394" s="182"/>
      <c r="K394" s="182"/>
      <c r="M394" s="139" t="str">
        <f t="shared" si="47"/>
        <v/>
      </c>
      <c r="N394" s="139" t="str">
        <f t="shared" si="48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4"/>
        <v/>
      </c>
      <c r="E395" s="149"/>
      <c r="F395" s="144" t="str">
        <f t="shared" si="45"/>
        <v/>
      </c>
      <c r="G395" s="183"/>
      <c r="H395" s="144" t="str">
        <f t="shared" si="46"/>
        <v/>
      </c>
      <c r="I395" s="182"/>
      <c r="J395" s="182"/>
      <c r="K395" s="182"/>
      <c r="M395" s="139" t="str">
        <f t="shared" si="47"/>
        <v/>
      </c>
      <c r="N395" s="139" t="str">
        <f t="shared" si="48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4"/>
        <v/>
      </c>
      <c r="E396" s="149"/>
      <c r="F396" s="144" t="str">
        <f t="shared" si="45"/>
        <v/>
      </c>
      <c r="G396" s="183"/>
      <c r="H396" s="144" t="str">
        <f t="shared" si="46"/>
        <v/>
      </c>
      <c r="I396" s="182"/>
      <c r="J396" s="182"/>
      <c r="K396" s="182"/>
      <c r="M396" s="139" t="str">
        <f t="shared" si="47"/>
        <v/>
      </c>
      <c r="N396" s="139" t="str">
        <f t="shared" si="48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4"/>
        <v/>
      </c>
      <c r="E397" s="149"/>
      <c r="F397" s="144" t="str">
        <f t="shared" si="45"/>
        <v/>
      </c>
      <c r="G397" s="183"/>
      <c r="H397" s="144" t="str">
        <f t="shared" si="46"/>
        <v/>
      </c>
      <c r="I397" s="182"/>
      <c r="J397" s="182"/>
      <c r="K397" s="182"/>
      <c r="M397" s="139" t="str">
        <f t="shared" si="47"/>
        <v/>
      </c>
      <c r="N397" s="139" t="str">
        <f t="shared" si="48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4"/>
        <v/>
      </c>
      <c r="E398" s="149"/>
      <c r="F398" s="144" t="str">
        <f t="shared" si="45"/>
        <v/>
      </c>
      <c r="G398" s="183"/>
      <c r="H398" s="144" t="str">
        <f t="shared" si="46"/>
        <v/>
      </c>
      <c r="I398" s="182"/>
      <c r="J398" s="182"/>
      <c r="K398" s="182"/>
      <c r="M398" s="139" t="str">
        <f t="shared" si="47"/>
        <v/>
      </c>
      <c r="N398" s="139" t="str">
        <f t="shared" si="48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4"/>
        <v/>
      </c>
      <c r="E399" s="149"/>
      <c r="F399" s="144" t="str">
        <f t="shared" si="45"/>
        <v/>
      </c>
      <c r="G399" s="183"/>
      <c r="H399" s="144" t="str">
        <f t="shared" si="46"/>
        <v/>
      </c>
      <c r="I399" s="182"/>
      <c r="J399" s="182"/>
      <c r="K399" s="182"/>
      <c r="M399" s="139" t="str">
        <f t="shared" si="47"/>
        <v/>
      </c>
      <c r="N399" s="139" t="str">
        <f t="shared" si="48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4"/>
        <v/>
      </c>
      <c r="E400" s="149"/>
      <c r="F400" s="144" t="str">
        <f t="shared" si="45"/>
        <v/>
      </c>
      <c r="G400" s="183"/>
      <c r="H400" s="144" t="str">
        <f t="shared" si="46"/>
        <v/>
      </c>
      <c r="I400" s="182"/>
      <c r="J400" s="182"/>
      <c r="K400" s="182"/>
      <c r="M400" s="139" t="str">
        <f t="shared" si="47"/>
        <v/>
      </c>
      <c r="N400" s="139" t="str">
        <f t="shared" si="48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4"/>
        <v/>
      </c>
      <c r="E401" s="149"/>
      <c r="F401" s="144" t="str">
        <f t="shared" si="45"/>
        <v/>
      </c>
      <c r="G401" s="183"/>
      <c r="H401" s="144" t="str">
        <f t="shared" si="46"/>
        <v/>
      </c>
      <c r="I401" s="182"/>
      <c r="J401" s="182"/>
      <c r="K401" s="182"/>
      <c r="M401" s="139" t="str">
        <f t="shared" si="47"/>
        <v/>
      </c>
      <c r="N401" s="139" t="str">
        <f t="shared" si="48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4"/>
        <v/>
      </c>
      <c r="E402" s="149"/>
      <c r="F402" s="144" t="str">
        <f t="shared" si="45"/>
        <v/>
      </c>
      <c r="G402" s="183"/>
      <c r="H402" s="144" t="str">
        <f t="shared" si="46"/>
        <v/>
      </c>
      <c r="I402" s="182"/>
      <c r="J402" s="182"/>
      <c r="K402" s="182"/>
      <c r="M402" s="139" t="str">
        <f t="shared" si="47"/>
        <v/>
      </c>
      <c r="N402" s="139" t="str">
        <f t="shared" si="48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4"/>
        <v/>
      </c>
      <c r="E403" s="149"/>
      <c r="F403" s="144" t="str">
        <f t="shared" si="45"/>
        <v/>
      </c>
      <c r="G403" s="183"/>
      <c r="H403" s="144" t="str">
        <f t="shared" si="46"/>
        <v/>
      </c>
      <c r="I403" s="182"/>
      <c r="J403" s="182"/>
      <c r="K403" s="182"/>
      <c r="M403" s="139" t="str">
        <f t="shared" si="47"/>
        <v/>
      </c>
      <c r="N403" s="139" t="str">
        <f t="shared" si="48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4"/>
        <v/>
      </c>
      <c r="E404" s="149"/>
      <c r="F404" s="144" t="str">
        <f t="shared" si="45"/>
        <v/>
      </c>
      <c r="G404" s="183"/>
      <c r="H404" s="144" t="str">
        <f t="shared" si="46"/>
        <v/>
      </c>
      <c r="I404" s="182"/>
      <c r="J404" s="182"/>
      <c r="K404" s="182"/>
      <c r="M404" s="139" t="str">
        <f t="shared" si="47"/>
        <v/>
      </c>
      <c r="N404" s="139" t="str">
        <f t="shared" si="48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4"/>
        <v/>
      </c>
      <c r="E405" s="149"/>
      <c r="F405" s="144" t="str">
        <f t="shared" si="45"/>
        <v/>
      </c>
      <c r="G405" s="183"/>
      <c r="H405" s="144" t="str">
        <f t="shared" si="46"/>
        <v/>
      </c>
      <c r="I405" s="182"/>
      <c r="J405" s="182"/>
      <c r="K405" s="182"/>
      <c r="M405" s="139" t="str">
        <f t="shared" si="47"/>
        <v/>
      </c>
      <c r="N405" s="139" t="str">
        <f t="shared" si="48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4"/>
        <v/>
      </c>
      <c r="E406" s="149"/>
      <c r="F406" s="144" t="str">
        <f t="shared" si="45"/>
        <v/>
      </c>
      <c r="G406" s="183"/>
      <c r="H406" s="144" t="str">
        <f t="shared" si="46"/>
        <v/>
      </c>
      <c r="I406" s="182"/>
      <c r="J406" s="182"/>
      <c r="K406" s="182"/>
      <c r="M406" s="139" t="str">
        <f t="shared" si="47"/>
        <v/>
      </c>
      <c r="N406" s="139" t="str">
        <f t="shared" si="48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4"/>
        <v/>
      </c>
      <c r="E407" s="149"/>
      <c r="F407" s="144" t="str">
        <f t="shared" si="45"/>
        <v/>
      </c>
      <c r="G407" s="183"/>
      <c r="H407" s="144" t="str">
        <f t="shared" si="46"/>
        <v/>
      </c>
      <c r="I407" s="182"/>
      <c r="J407" s="182"/>
      <c r="K407" s="182"/>
      <c r="M407" s="139" t="str">
        <f t="shared" si="47"/>
        <v/>
      </c>
      <c r="N407" s="139" t="str">
        <f t="shared" si="48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4"/>
        <v/>
      </c>
      <c r="E408" s="149"/>
      <c r="F408" s="144" t="str">
        <f t="shared" si="45"/>
        <v/>
      </c>
      <c r="G408" s="183"/>
      <c r="H408" s="144" t="str">
        <f t="shared" si="46"/>
        <v/>
      </c>
      <c r="I408" s="182"/>
      <c r="J408" s="182"/>
      <c r="K408" s="182"/>
      <c r="M408" s="139" t="str">
        <f t="shared" si="47"/>
        <v/>
      </c>
      <c r="N408" s="139" t="str">
        <f t="shared" si="48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4"/>
        <v/>
      </c>
      <c r="E409" s="149"/>
      <c r="F409" s="144" t="str">
        <f t="shared" si="45"/>
        <v/>
      </c>
      <c r="G409" s="183"/>
      <c r="H409" s="144" t="str">
        <f t="shared" si="46"/>
        <v/>
      </c>
      <c r="I409" s="182"/>
      <c r="J409" s="182"/>
      <c r="K409" s="182"/>
      <c r="M409" s="139" t="str">
        <f t="shared" si="47"/>
        <v/>
      </c>
      <c r="N409" s="139" t="str">
        <f t="shared" si="48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4"/>
        <v/>
      </c>
      <c r="E410" s="149"/>
      <c r="F410" s="144" t="str">
        <f t="shared" si="45"/>
        <v/>
      </c>
      <c r="G410" s="183"/>
      <c r="H410" s="144" t="str">
        <f t="shared" si="46"/>
        <v/>
      </c>
      <c r="I410" s="182"/>
      <c r="J410" s="182"/>
      <c r="K410" s="182"/>
      <c r="M410" s="139" t="str">
        <f t="shared" si="47"/>
        <v/>
      </c>
      <c r="N410" s="139" t="str">
        <f t="shared" si="48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4"/>
        <v/>
      </c>
      <c r="E411" s="149"/>
      <c r="F411" s="144" t="str">
        <f t="shared" si="45"/>
        <v/>
      </c>
      <c r="G411" s="183"/>
      <c r="H411" s="144" t="str">
        <f t="shared" si="46"/>
        <v/>
      </c>
      <c r="I411" s="182"/>
      <c r="J411" s="182"/>
      <c r="K411" s="182"/>
      <c r="M411" s="139" t="str">
        <f t="shared" si="47"/>
        <v/>
      </c>
      <c r="N411" s="139" t="str">
        <f t="shared" si="48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4"/>
        <v/>
      </c>
      <c r="E412" s="149"/>
      <c r="F412" s="144" t="str">
        <f t="shared" si="45"/>
        <v/>
      </c>
      <c r="G412" s="183"/>
      <c r="H412" s="144" t="str">
        <f t="shared" si="46"/>
        <v/>
      </c>
      <c r="I412" s="182"/>
      <c r="J412" s="182"/>
      <c r="K412" s="182"/>
      <c r="M412" s="139" t="str">
        <f t="shared" si="47"/>
        <v/>
      </c>
      <c r="N412" s="139" t="str">
        <f t="shared" si="48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4"/>
        <v/>
      </c>
      <c r="E413" s="149"/>
      <c r="F413" s="144" t="str">
        <f t="shared" si="45"/>
        <v/>
      </c>
      <c r="G413" s="183"/>
      <c r="H413" s="144" t="str">
        <f t="shared" si="46"/>
        <v/>
      </c>
      <c r="I413" s="182"/>
      <c r="J413" s="182"/>
      <c r="K413" s="182"/>
      <c r="M413" s="139" t="str">
        <f t="shared" si="47"/>
        <v/>
      </c>
      <c r="N413" s="139" t="str">
        <f t="shared" si="48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4"/>
        <v/>
      </c>
      <c r="E414" s="149"/>
      <c r="F414" s="144" t="str">
        <f t="shared" si="45"/>
        <v/>
      </c>
      <c r="G414" s="183"/>
      <c r="H414" s="144" t="str">
        <f t="shared" si="46"/>
        <v/>
      </c>
      <c r="I414" s="182"/>
      <c r="J414" s="182"/>
      <c r="K414" s="182"/>
      <c r="M414" s="139" t="str">
        <f t="shared" si="47"/>
        <v/>
      </c>
      <c r="N414" s="139" t="str">
        <f t="shared" si="48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4"/>
        <v/>
      </c>
      <c r="E415" s="149"/>
      <c r="F415" s="144" t="str">
        <f t="shared" si="45"/>
        <v/>
      </c>
      <c r="G415" s="183"/>
      <c r="H415" s="144" t="str">
        <f t="shared" si="46"/>
        <v/>
      </c>
      <c r="I415" s="182"/>
      <c r="J415" s="182"/>
      <c r="K415" s="182"/>
      <c r="M415" s="139" t="str">
        <f t="shared" si="47"/>
        <v/>
      </c>
      <c r="N415" s="139" t="str">
        <f t="shared" si="48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4"/>
        <v/>
      </c>
      <c r="E416" s="149"/>
      <c r="F416" s="144" t="str">
        <f t="shared" si="45"/>
        <v/>
      </c>
      <c r="G416" s="183"/>
      <c r="H416" s="144" t="str">
        <f t="shared" si="46"/>
        <v/>
      </c>
      <c r="I416" s="182"/>
      <c r="J416" s="182"/>
      <c r="K416" s="182"/>
      <c r="M416" s="139" t="str">
        <f t="shared" si="47"/>
        <v/>
      </c>
      <c r="N416" s="139" t="str">
        <f t="shared" si="48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4"/>
        <v/>
      </c>
      <c r="E417" s="149"/>
      <c r="F417" s="144" t="str">
        <f t="shared" si="45"/>
        <v/>
      </c>
      <c r="G417" s="183"/>
      <c r="H417" s="144" t="str">
        <f t="shared" si="46"/>
        <v/>
      </c>
      <c r="I417" s="182"/>
      <c r="J417" s="182"/>
      <c r="K417" s="182"/>
      <c r="M417" s="139" t="str">
        <f t="shared" si="47"/>
        <v/>
      </c>
      <c r="N417" s="139" t="str">
        <f t="shared" si="48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4"/>
        <v/>
      </c>
      <c r="E418" s="149"/>
      <c r="F418" s="144" t="str">
        <f t="shared" si="45"/>
        <v/>
      </c>
      <c r="G418" s="183"/>
      <c r="H418" s="144" t="str">
        <f t="shared" si="46"/>
        <v/>
      </c>
      <c r="I418" s="182"/>
      <c r="J418" s="182"/>
      <c r="K418" s="182"/>
      <c r="M418" s="139" t="str">
        <f t="shared" si="47"/>
        <v/>
      </c>
      <c r="N418" s="139" t="str">
        <f t="shared" si="48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4"/>
        <v/>
      </c>
      <c r="E419" s="149"/>
      <c r="F419" s="144" t="str">
        <f t="shared" si="45"/>
        <v/>
      </c>
      <c r="G419" s="183"/>
      <c r="H419" s="144" t="str">
        <f t="shared" si="46"/>
        <v/>
      </c>
      <c r="I419" s="182"/>
      <c r="J419" s="182"/>
      <c r="K419" s="182"/>
      <c r="M419" s="139" t="str">
        <f t="shared" si="47"/>
        <v/>
      </c>
      <c r="N419" s="139" t="str">
        <f t="shared" si="48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4"/>
        <v/>
      </c>
      <c r="E420" s="149"/>
      <c r="F420" s="144" t="str">
        <f t="shared" si="45"/>
        <v/>
      </c>
      <c r="G420" s="183"/>
      <c r="H420" s="144" t="str">
        <f t="shared" si="46"/>
        <v/>
      </c>
      <c r="I420" s="182"/>
      <c r="J420" s="182"/>
      <c r="K420" s="182"/>
      <c r="M420" s="139" t="str">
        <f t="shared" si="47"/>
        <v/>
      </c>
      <c r="N420" s="139" t="str">
        <f t="shared" si="48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4"/>
        <v/>
      </c>
      <c r="E421" s="149"/>
      <c r="F421" s="144" t="str">
        <f t="shared" si="45"/>
        <v/>
      </c>
      <c r="G421" s="183"/>
      <c r="H421" s="144" t="str">
        <f t="shared" si="46"/>
        <v/>
      </c>
      <c r="I421" s="182"/>
      <c r="J421" s="182"/>
      <c r="K421" s="182"/>
      <c r="M421" s="139" t="str">
        <f t="shared" si="47"/>
        <v/>
      </c>
      <c r="N421" s="139" t="str">
        <f t="shared" si="48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4"/>
        <v/>
      </c>
      <c r="E422" s="149"/>
      <c r="F422" s="144" t="str">
        <f t="shared" si="45"/>
        <v/>
      </c>
      <c r="G422" s="183"/>
      <c r="H422" s="144" t="str">
        <f t="shared" si="46"/>
        <v/>
      </c>
      <c r="I422" s="182"/>
      <c r="J422" s="182"/>
      <c r="K422" s="182"/>
      <c r="M422" s="139" t="str">
        <f t="shared" si="47"/>
        <v/>
      </c>
      <c r="N422" s="139" t="str">
        <f t="shared" si="48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4"/>
        <v/>
      </c>
      <c r="E423" s="149"/>
      <c r="F423" s="144" t="str">
        <f t="shared" si="45"/>
        <v/>
      </c>
      <c r="G423" s="183"/>
      <c r="H423" s="144" t="str">
        <f t="shared" si="46"/>
        <v/>
      </c>
      <c r="I423" s="182"/>
      <c r="J423" s="182"/>
      <c r="K423" s="182"/>
      <c r="M423" s="139" t="str">
        <f t="shared" si="47"/>
        <v/>
      </c>
      <c r="N423" s="139" t="str">
        <f t="shared" si="48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4"/>
        <v/>
      </c>
      <c r="E424" s="149"/>
      <c r="F424" s="144" t="str">
        <f t="shared" si="45"/>
        <v/>
      </c>
      <c r="G424" s="183"/>
      <c r="H424" s="144" t="str">
        <f t="shared" si="46"/>
        <v/>
      </c>
      <c r="I424" s="182"/>
      <c r="J424" s="182"/>
      <c r="K424" s="182"/>
      <c r="M424" s="139" t="str">
        <f t="shared" si="47"/>
        <v/>
      </c>
      <c r="N424" s="139" t="str">
        <f t="shared" si="48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4"/>
        <v/>
      </c>
      <c r="E425" s="149"/>
      <c r="F425" s="144" t="str">
        <f t="shared" si="45"/>
        <v/>
      </c>
      <c r="G425" s="183"/>
      <c r="H425" s="144" t="str">
        <f t="shared" si="46"/>
        <v/>
      </c>
      <c r="I425" s="182"/>
      <c r="J425" s="182"/>
      <c r="K425" s="182"/>
      <c r="M425" s="139" t="str">
        <f t="shared" si="47"/>
        <v/>
      </c>
      <c r="N425" s="139" t="str">
        <f t="shared" si="48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4"/>
        <v/>
      </c>
      <c r="E426" s="149"/>
      <c r="F426" s="144" t="str">
        <f t="shared" si="45"/>
        <v/>
      </c>
      <c r="G426" s="183"/>
      <c r="H426" s="144" t="str">
        <f t="shared" si="46"/>
        <v/>
      </c>
      <c r="I426" s="182"/>
      <c r="J426" s="182"/>
      <c r="K426" s="182"/>
      <c r="M426" s="139" t="str">
        <f t="shared" si="47"/>
        <v/>
      </c>
      <c r="N426" s="139" t="str">
        <f t="shared" si="48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4"/>
        <v/>
      </c>
      <c r="E427" s="149"/>
      <c r="F427" s="144" t="str">
        <f t="shared" si="45"/>
        <v/>
      </c>
      <c r="G427" s="183"/>
      <c r="H427" s="144" t="str">
        <f t="shared" si="46"/>
        <v/>
      </c>
      <c r="I427" s="182"/>
      <c r="J427" s="182"/>
      <c r="K427" s="182"/>
      <c r="M427" s="139" t="str">
        <f t="shared" si="47"/>
        <v/>
      </c>
      <c r="N427" s="139" t="str">
        <f t="shared" si="48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4"/>
        <v/>
      </c>
      <c r="E428" s="149"/>
      <c r="F428" s="144" t="str">
        <f t="shared" si="45"/>
        <v/>
      </c>
      <c r="G428" s="183"/>
      <c r="H428" s="144" t="str">
        <f t="shared" si="46"/>
        <v/>
      </c>
      <c r="I428" s="182"/>
      <c r="J428" s="182"/>
      <c r="K428" s="182"/>
      <c r="M428" s="139" t="str">
        <f t="shared" si="47"/>
        <v/>
      </c>
      <c r="N428" s="139" t="str">
        <f t="shared" si="48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4"/>
        <v/>
      </c>
      <c r="E429" s="149"/>
      <c r="F429" s="144" t="str">
        <f t="shared" si="45"/>
        <v/>
      </c>
      <c r="G429" s="183"/>
      <c r="H429" s="144" t="str">
        <f t="shared" si="46"/>
        <v/>
      </c>
      <c r="I429" s="182"/>
      <c r="J429" s="182"/>
      <c r="K429" s="182"/>
      <c r="M429" s="139" t="str">
        <f t="shared" si="47"/>
        <v/>
      </c>
      <c r="N429" s="139" t="str">
        <f t="shared" si="48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4"/>
        <v/>
      </c>
      <c r="E430" s="149"/>
      <c r="F430" s="144" t="str">
        <f t="shared" si="45"/>
        <v/>
      </c>
      <c r="G430" s="183"/>
      <c r="H430" s="144" t="str">
        <f t="shared" si="46"/>
        <v/>
      </c>
      <c r="I430" s="182"/>
      <c r="J430" s="182"/>
      <c r="K430" s="182"/>
      <c r="M430" s="139" t="str">
        <f t="shared" si="47"/>
        <v/>
      </c>
      <c r="N430" s="139" t="str">
        <f t="shared" si="48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4"/>
        <v/>
      </c>
      <c r="E431" s="149"/>
      <c r="F431" s="144" t="str">
        <f t="shared" si="45"/>
        <v/>
      </c>
      <c r="G431" s="183"/>
      <c r="H431" s="144" t="str">
        <f t="shared" si="46"/>
        <v/>
      </c>
      <c r="I431" s="182"/>
      <c r="J431" s="182"/>
      <c r="K431" s="182"/>
      <c r="M431" s="139" t="str">
        <f t="shared" si="47"/>
        <v/>
      </c>
      <c r="N431" s="139" t="str">
        <f t="shared" si="48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4"/>
        <v/>
      </c>
      <c r="E432" s="149"/>
      <c r="F432" s="144" t="str">
        <f t="shared" si="45"/>
        <v/>
      </c>
      <c r="G432" s="183"/>
      <c r="H432" s="144" t="str">
        <f t="shared" si="46"/>
        <v/>
      </c>
      <c r="I432" s="182"/>
      <c r="J432" s="182"/>
      <c r="K432" s="182"/>
      <c r="M432" s="139" t="str">
        <f t="shared" si="47"/>
        <v/>
      </c>
      <c r="N432" s="139" t="str">
        <f t="shared" si="48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4"/>
        <v/>
      </c>
      <c r="E433" s="149"/>
      <c r="F433" s="144" t="str">
        <f t="shared" si="45"/>
        <v/>
      </c>
      <c r="G433" s="183"/>
      <c r="H433" s="144" t="str">
        <f t="shared" si="46"/>
        <v/>
      </c>
      <c r="I433" s="182"/>
      <c r="J433" s="182"/>
      <c r="K433" s="182"/>
      <c r="M433" s="139" t="str">
        <f t="shared" si="47"/>
        <v/>
      </c>
      <c r="N433" s="139" t="str">
        <f t="shared" si="48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4"/>
        <v/>
      </c>
      <c r="E434" s="149"/>
      <c r="F434" s="144" t="str">
        <f t="shared" si="45"/>
        <v/>
      </c>
      <c r="G434" s="183"/>
      <c r="H434" s="144" t="str">
        <f t="shared" si="46"/>
        <v/>
      </c>
      <c r="I434" s="182"/>
      <c r="J434" s="182"/>
      <c r="K434" s="182"/>
      <c r="M434" s="139" t="str">
        <f t="shared" si="47"/>
        <v/>
      </c>
      <c r="N434" s="139" t="str">
        <f t="shared" si="48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4"/>
        <v/>
      </c>
      <c r="E435" s="149"/>
      <c r="F435" s="144" t="str">
        <f t="shared" si="45"/>
        <v/>
      </c>
      <c r="G435" s="183"/>
      <c r="H435" s="144" t="str">
        <f t="shared" si="46"/>
        <v/>
      </c>
      <c r="I435" s="182"/>
      <c r="J435" s="182"/>
      <c r="K435" s="182"/>
      <c r="M435" s="139" t="str">
        <f t="shared" si="47"/>
        <v/>
      </c>
      <c r="N435" s="139" t="str">
        <f t="shared" si="48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4"/>
        <v/>
      </c>
      <c r="E436" s="149"/>
      <c r="F436" s="144" t="str">
        <f t="shared" si="45"/>
        <v/>
      </c>
      <c r="G436" s="183"/>
      <c r="H436" s="144" t="str">
        <f t="shared" si="46"/>
        <v/>
      </c>
      <c r="I436" s="182"/>
      <c r="J436" s="182"/>
      <c r="K436" s="182"/>
      <c r="M436" s="139" t="str">
        <f t="shared" si="47"/>
        <v/>
      </c>
      <c r="N436" s="139" t="str">
        <f t="shared" si="48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4"/>
        <v/>
      </c>
      <c r="E437" s="149"/>
      <c r="F437" s="144" t="str">
        <f t="shared" si="45"/>
        <v/>
      </c>
      <c r="G437" s="183"/>
      <c r="H437" s="144" t="str">
        <f t="shared" si="46"/>
        <v/>
      </c>
      <c r="I437" s="182"/>
      <c r="J437" s="182"/>
      <c r="K437" s="182"/>
      <c r="M437" s="139" t="str">
        <f t="shared" si="47"/>
        <v/>
      </c>
      <c r="N437" s="139" t="str">
        <f t="shared" si="48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4"/>
        <v/>
      </c>
      <c r="E438" s="149"/>
      <c r="F438" s="144" t="str">
        <f t="shared" si="45"/>
        <v/>
      </c>
      <c r="G438" s="183"/>
      <c r="H438" s="144" t="str">
        <f t="shared" si="46"/>
        <v/>
      </c>
      <c r="I438" s="182"/>
      <c r="J438" s="182"/>
      <c r="K438" s="182"/>
      <c r="M438" s="139" t="str">
        <f t="shared" si="47"/>
        <v/>
      </c>
      <c r="N438" s="139" t="str">
        <f t="shared" si="48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4"/>
        <v/>
      </c>
      <c r="E439" s="149"/>
      <c r="F439" s="144" t="str">
        <f t="shared" si="45"/>
        <v/>
      </c>
      <c r="G439" s="183"/>
      <c r="H439" s="144" t="str">
        <f t="shared" si="46"/>
        <v/>
      </c>
      <c r="I439" s="182"/>
      <c r="J439" s="182"/>
      <c r="K439" s="182"/>
      <c r="M439" s="139" t="str">
        <f t="shared" si="47"/>
        <v/>
      </c>
      <c r="N439" s="139" t="str">
        <f t="shared" si="48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4"/>
        <v/>
      </c>
      <c r="E440" s="149"/>
      <c r="F440" s="144" t="str">
        <f t="shared" si="45"/>
        <v/>
      </c>
      <c r="G440" s="183"/>
      <c r="H440" s="144" t="str">
        <f t="shared" si="46"/>
        <v/>
      </c>
      <c r="I440" s="182"/>
      <c r="J440" s="182"/>
      <c r="K440" s="182"/>
      <c r="M440" s="139" t="str">
        <f t="shared" si="47"/>
        <v/>
      </c>
      <c r="N440" s="139" t="str">
        <f t="shared" si="48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4"/>
        <v/>
      </c>
      <c r="E441" s="149"/>
      <c r="F441" s="144" t="str">
        <f t="shared" si="45"/>
        <v/>
      </c>
      <c r="G441" s="183"/>
      <c r="H441" s="144" t="str">
        <f t="shared" si="46"/>
        <v/>
      </c>
      <c r="I441" s="182"/>
      <c r="J441" s="182"/>
      <c r="K441" s="182"/>
      <c r="M441" s="139" t="str">
        <f t="shared" si="47"/>
        <v/>
      </c>
      <c r="N441" s="139" t="str">
        <f t="shared" si="48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4"/>
        <v/>
      </c>
      <c r="E442" s="149"/>
      <c r="F442" s="144" t="str">
        <f t="shared" si="45"/>
        <v/>
      </c>
      <c r="G442" s="183"/>
      <c r="H442" s="144" t="str">
        <f t="shared" si="46"/>
        <v/>
      </c>
      <c r="I442" s="182"/>
      <c r="J442" s="182"/>
      <c r="K442" s="182"/>
      <c r="M442" s="139" t="str">
        <f t="shared" si="47"/>
        <v/>
      </c>
      <c r="N442" s="139" t="str">
        <f t="shared" si="48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4"/>
        <v/>
      </c>
      <c r="E443" s="149"/>
      <c r="F443" s="144" t="str">
        <f t="shared" si="45"/>
        <v/>
      </c>
      <c r="G443" s="183"/>
      <c r="H443" s="144" t="str">
        <f t="shared" si="46"/>
        <v/>
      </c>
      <c r="I443" s="182"/>
      <c r="J443" s="182"/>
      <c r="K443" s="182"/>
      <c r="M443" s="139" t="str">
        <f t="shared" si="47"/>
        <v/>
      </c>
      <c r="N443" s="139" t="str">
        <f t="shared" si="48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4"/>
        <v/>
      </c>
      <c r="E444" s="149"/>
      <c r="F444" s="144" t="str">
        <f t="shared" si="45"/>
        <v/>
      </c>
      <c r="G444" s="183"/>
      <c r="H444" s="144" t="str">
        <f t="shared" si="46"/>
        <v/>
      </c>
      <c r="I444" s="182"/>
      <c r="J444" s="182"/>
      <c r="K444" s="182"/>
      <c r="M444" s="139" t="str">
        <f t="shared" si="47"/>
        <v/>
      </c>
      <c r="N444" s="139" t="str">
        <f t="shared" si="48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4"/>
        <v/>
      </c>
      <c r="E445" s="149"/>
      <c r="F445" s="144" t="str">
        <f t="shared" si="45"/>
        <v/>
      </c>
      <c r="G445" s="183"/>
      <c r="H445" s="144" t="str">
        <f t="shared" si="46"/>
        <v/>
      </c>
      <c r="I445" s="182"/>
      <c r="J445" s="182"/>
      <c r="K445" s="182"/>
      <c r="M445" s="139" t="str">
        <f t="shared" si="47"/>
        <v/>
      </c>
      <c r="N445" s="139" t="str">
        <f t="shared" si="48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4"/>
        <v/>
      </c>
      <c r="E446" s="149"/>
      <c r="F446" s="144" t="str">
        <f t="shared" si="45"/>
        <v/>
      </c>
      <c r="G446" s="183"/>
      <c r="H446" s="144" t="str">
        <f t="shared" si="46"/>
        <v/>
      </c>
      <c r="I446" s="182"/>
      <c r="J446" s="182"/>
      <c r="K446" s="182"/>
      <c r="M446" s="139" t="str">
        <f t="shared" si="47"/>
        <v/>
      </c>
      <c r="N446" s="139" t="str">
        <f t="shared" si="48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4"/>
        <v/>
      </c>
      <c r="E447" s="149"/>
      <c r="F447" s="144" t="str">
        <f t="shared" si="45"/>
        <v/>
      </c>
      <c r="G447" s="183"/>
      <c r="H447" s="144" t="str">
        <f t="shared" si="46"/>
        <v/>
      </c>
      <c r="I447" s="182"/>
      <c r="J447" s="182"/>
      <c r="K447" s="182"/>
      <c r="M447" s="139" t="str">
        <f t="shared" si="47"/>
        <v/>
      </c>
      <c r="N447" s="139" t="str">
        <f t="shared" si="48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4"/>
        <v/>
      </c>
      <c r="E448" s="149"/>
      <c r="F448" s="144" t="str">
        <f t="shared" si="45"/>
        <v/>
      </c>
      <c r="G448" s="183"/>
      <c r="H448" s="144" t="str">
        <f t="shared" si="46"/>
        <v/>
      </c>
      <c r="I448" s="182"/>
      <c r="J448" s="182"/>
      <c r="K448" s="182"/>
      <c r="M448" s="139" t="str">
        <f t="shared" si="47"/>
        <v/>
      </c>
      <c r="N448" s="139" t="str">
        <f t="shared" si="48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4"/>
        <v/>
      </c>
      <c r="E449" s="149"/>
      <c r="F449" s="144" t="str">
        <f t="shared" si="45"/>
        <v/>
      </c>
      <c r="G449" s="183"/>
      <c r="H449" s="144" t="str">
        <f t="shared" si="46"/>
        <v/>
      </c>
      <c r="I449" s="182"/>
      <c r="J449" s="182"/>
      <c r="K449" s="182"/>
      <c r="M449" s="139" t="str">
        <f t="shared" si="47"/>
        <v/>
      </c>
      <c r="N449" s="139" t="str">
        <f t="shared" si="48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4"/>
        <v/>
      </c>
      <c r="E450" s="149"/>
      <c r="F450" s="144" t="str">
        <f t="shared" si="45"/>
        <v/>
      </c>
      <c r="G450" s="183"/>
      <c r="H450" s="144" t="str">
        <f t="shared" si="46"/>
        <v/>
      </c>
      <c r="I450" s="182"/>
      <c r="J450" s="182"/>
      <c r="K450" s="182"/>
      <c r="M450" s="139" t="str">
        <f t="shared" si="47"/>
        <v/>
      </c>
      <c r="N450" s="139" t="str">
        <f t="shared" si="48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ref="D451:D501" si="49">IFERROR(VLOOKUP(C451,$O$6:$P$23,2,FALSE),"")</f>
        <v/>
      </c>
      <c r="E451" s="149"/>
      <c r="F451" s="144" t="str">
        <f t="shared" ref="F451:F501" si="50">IFERROR(VLOOKUP(E451,$R$5:$T$129,2,FALSE),"")</f>
        <v/>
      </c>
      <c r="G451" s="183"/>
      <c r="H451" s="144" t="str">
        <f t="shared" si="46"/>
        <v/>
      </c>
      <c r="I451" s="182"/>
      <c r="J451" s="182"/>
      <c r="K451" s="182"/>
      <c r="M451" s="139" t="str">
        <f t="shared" si="47"/>
        <v/>
      </c>
      <c r="N451" s="139" t="str">
        <f t="shared" si="48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si="49"/>
        <v/>
      </c>
      <c r="E452" s="149"/>
      <c r="F452" s="144" t="str">
        <f t="shared" si="50"/>
        <v/>
      </c>
      <c r="G452" s="183"/>
      <c r="H452" s="144" t="str">
        <f t="shared" ref="H452:H501" si="51">IFERROR(VLOOKUP(G452,$X$6:$Y$297,2,FALSE),"")</f>
        <v/>
      </c>
      <c r="I452" s="182"/>
      <c r="J452" s="182"/>
      <c r="K452" s="182"/>
      <c r="M452" s="139" t="str">
        <f t="shared" ref="M452:M501" si="52">LEFT(E452,3)</f>
        <v/>
      </c>
      <c r="N452" s="139" t="str">
        <f t="shared" ref="N452:N501" si="53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9"/>
        <v/>
      </c>
      <c r="E453" s="149"/>
      <c r="F453" s="144" t="str">
        <f t="shared" si="50"/>
        <v/>
      </c>
      <c r="G453" s="183"/>
      <c r="H453" s="144" t="str">
        <f t="shared" si="51"/>
        <v/>
      </c>
      <c r="I453" s="182"/>
      <c r="J453" s="182"/>
      <c r="K453" s="182"/>
      <c r="M453" s="139" t="str">
        <f t="shared" si="52"/>
        <v/>
      </c>
      <c r="N453" s="139" t="str">
        <f t="shared" si="53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9"/>
        <v/>
      </c>
      <c r="E454" s="149"/>
      <c r="F454" s="144" t="str">
        <f t="shared" si="50"/>
        <v/>
      </c>
      <c r="G454" s="183"/>
      <c r="H454" s="144" t="str">
        <f t="shared" si="51"/>
        <v/>
      </c>
      <c r="I454" s="182"/>
      <c r="J454" s="182"/>
      <c r="K454" s="182"/>
      <c r="M454" s="139" t="str">
        <f t="shared" si="52"/>
        <v/>
      </c>
      <c r="N454" s="139" t="str">
        <f t="shared" si="53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9"/>
        <v/>
      </c>
      <c r="E455" s="149"/>
      <c r="F455" s="144" t="str">
        <f t="shared" si="50"/>
        <v/>
      </c>
      <c r="G455" s="183"/>
      <c r="H455" s="144" t="str">
        <f t="shared" si="51"/>
        <v/>
      </c>
      <c r="I455" s="182"/>
      <c r="J455" s="182"/>
      <c r="K455" s="182"/>
      <c r="M455" s="139" t="str">
        <f t="shared" si="52"/>
        <v/>
      </c>
      <c r="N455" s="139" t="str">
        <f t="shared" si="53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9"/>
        <v/>
      </c>
      <c r="E456" s="149"/>
      <c r="F456" s="144" t="str">
        <f t="shared" si="50"/>
        <v/>
      </c>
      <c r="G456" s="183"/>
      <c r="H456" s="144" t="str">
        <f t="shared" si="51"/>
        <v/>
      </c>
      <c r="I456" s="182"/>
      <c r="J456" s="182"/>
      <c r="K456" s="182"/>
      <c r="M456" s="139" t="str">
        <f t="shared" si="52"/>
        <v/>
      </c>
      <c r="N456" s="139" t="str">
        <f t="shared" si="53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9"/>
        <v/>
      </c>
      <c r="E457" s="149"/>
      <c r="F457" s="144" t="str">
        <f t="shared" si="50"/>
        <v/>
      </c>
      <c r="G457" s="183"/>
      <c r="H457" s="144" t="str">
        <f t="shared" si="51"/>
        <v/>
      </c>
      <c r="I457" s="182"/>
      <c r="J457" s="182"/>
      <c r="K457" s="182"/>
      <c r="M457" s="139" t="str">
        <f t="shared" si="52"/>
        <v/>
      </c>
      <c r="N457" s="139" t="str">
        <f t="shared" si="53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9"/>
        <v/>
      </c>
      <c r="E458" s="149"/>
      <c r="F458" s="144" t="str">
        <f t="shared" si="50"/>
        <v/>
      </c>
      <c r="G458" s="183"/>
      <c r="H458" s="144" t="str">
        <f t="shared" si="51"/>
        <v/>
      </c>
      <c r="I458" s="182"/>
      <c r="J458" s="182"/>
      <c r="K458" s="182"/>
      <c r="M458" s="139" t="str">
        <f t="shared" si="52"/>
        <v/>
      </c>
      <c r="N458" s="139" t="str">
        <f t="shared" si="53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9"/>
        <v/>
      </c>
      <c r="E459" s="149"/>
      <c r="F459" s="144" t="str">
        <f t="shared" si="50"/>
        <v/>
      </c>
      <c r="G459" s="183"/>
      <c r="H459" s="144" t="str">
        <f t="shared" si="51"/>
        <v/>
      </c>
      <c r="I459" s="182"/>
      <c r="J459" s="182"/>
      <c r="K459" s="182"/>
      <c r="M459" s="139" t="str">
        <f t="shared" si="52"/>
        <v/>
      </c>
      <c r="N459" s="139" t="str">
        <f t="shared" si="53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9"/>
        <v/>
      </c>
      <c r="E460" s="149"/>
      <c r="F460" s="144" t="str">
        <f t="shared" si="50"/>
        <v/>
      </c>
      <c r="G460" s="183"/>
      <c r="H460" s="144" t="str">
        <f t="shared" si="51"/>
        <v/>
      </c>
      <c r="I460" s="182"/>
      <c r="J460" s="182"/>
      <c r="K460" s="182"/>
      <c r="M460" s="139" t="str">
        <f t="shared" si="52"/>
        <v/>
      </c>
      <c r="N460" s="139" t="str">
        <f t="shared" si="53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9"/>
        <v/>
      </c>
      <c r="E461" s="149"/>
      <c r="F461" s="144" t="str">
        <f t="shared" si="50"/>
        <v/>
      </c>
      <c r="G461" s="183"/>
      <c r="H461" s="144" t="str">
        <f t="shared" si="51"/>
        <v/>
      </c>
      <c r="I461" s="182"/>
      <c r="J461" s="182"/>
      <c r="K461" s="182"/>
      <c r="M461" s="139" t="str">
        <f t="shared" si="52"/>
        <v/>
      </c>
      <c r="N461" s="139" t="str">
        <f t="shared" si="53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9"/>
        <v/>
      </c>
      <c r="E462" s="149"/>
      <c r="F462" s="144" t="str">
        <f t="shared" si="50"/>
        <v/>
      </c>
      <c r="G462" s="183"/>
      <c r="H462" s="144" t="str">
        <f t="shared" si="51"/>
        <v/>
      </c>
      <c r="I462" s="182"/>
      <c r="J462" s="182"/>
      <c r="K462" s="182"/>
      <c r="M462" s="139" t="str">
        <f t="shared" si="52"/>
        <v/>
      </c>
      <c r="N462" s="139" t="str">
        <f t="shared" si="53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9"/>
        <v/>
      </c>
      <c r="E463" s="149"/>
      <c r="F463" s="144" t="str">
        <f t="shared" si="50"/>
        <v/>
      </c>
      <c r="G463" s="183"/>
      <c r="H463" s="144" t="str">
        <f t="shared" si="51"/>
        <v/>
      </c>
      <c r="I463" s="182"/>
      <c r="J463" s="182"/>
      <c r="K463" s="182"/>
      <c r="M463" s="139" t="str">
        <f t="shared" si="52"/>
        <v/>
      </c>
      <c r="N463" s="139" t="str">
        <f t="shared" si="53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9"/>
        <v/>
      </c>
      <c r="E464" s="149"/>
      <c r="F464" s="144" t="str">
        <f t="shared" si="50"/>
        <v/>
      </c>
      <c r="G464" s="183"/>
      <c r="H464" s="144" t="str">
        <f t="shared" si="51"/>
        <v/>
      </c>
      <c r="I464" s="182"/>
      <c r="J464" s="182"/>
      <c r="K464" s="182"/>
      <c r="M464" s="139" t="str">
        <f t="shared" si="52"/>
        <v/>
      </c>
      <c r="N464" s="139" t="str">
        <f t="shared" si="53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9"/>
        <v/>
      </c>
      <c r="E465" s="149"/>
      <c r="F465" s="144" t="str">
        <f t="shared" si="50"/>
        <v/>
      </c>
      <c r="G465" s="183"/>
      <c r="H465" s="144" t="str">
        <f t="shared" si="51"/>
        <v/>
      </c>
      <c r="I465" s="182"/>
      <c r="J465" s="182"/>
      <c r="K465" s="182"/>
      <c r="M465" s="139" t="str">
        <f t="shared" si="52"/>
        <v/>
      </c>
      <c r="N465" s="139" t="str">
        <f t="shared" si="53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9"/>
        <v/>
      </c>
      <c r="E466" s="149"/>
      <c r="F466" s="144" t="str">
        <f t="shared" si="50"/>
        <v/>
      </c>
      <c r="G466" s="183"/>
      <c r="H466" s="144" t="str">
        <f t="shared" si="51"/>
        <v/>
      </c>
      <c r="I466" s="182"/>
      <c r="J466" s="182"/>
      <c r="K466" s="182"/>
      <c r="M466" s="139" t="str">
        <f t="shared" si="52"/>
        <v/>
      </c>
      <c r="N466" s="139" t="str">
        <f t="shared" si="53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9"/>
        <v/>
      </c>
      <c r="E467" s="149"/>
      <c r="F467" s="144" t="str">
        <f t="shared" si="50"/>
        <v/>
      </c>
      <c r="G467" s="183"/>
      <c r="H467" s="144" t="str">
        <f t="shared" si="51"/>
        <v/>
      </c>
      <c r="I467" s="182"/>
      <c r="J467" s="182"/>
      <c r="K467" s="182"/>
      <c r="M467" s="139" t="str">
        <f t="shared" si="52"/>
        <v/>
      </c>
      <c r="N467" s="139" t="str">
        <f t="shared" si="53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9"/>
        <v/>
      </c>
      <c r="E468" s="149"/>
      <c r="F468" s="144" t="str">
        <f t="shared" si="50"/>
        <v/>
      </c>
      <c r="G468" s="183"/>
      <c r="H468" s="144" t="str">
        <f t="shared" si="51"/>
        <v/>
      </c>
      <c r="I468" s="182"/>
      <c r="J468" s="182"/>
      <c r="K468" s="182"/>
      <c r="M468" s="139" t="str">
        <f t="shared" si="52"/>
        <v/>
      </c>
      <c r="N468" s="139" t="str">
        <f t="shared" si="53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9"/>
        <v/>
      </c>
      <c r="E469" s="149"/>
      <c r="F469" s="144" t="str">
        <f t="shared" si="50"/>
        <v/>
      </c>
      <c r="G469" s="183"/>
      <c r="H469" s="144" t="str">
        <f t="shared" si="51"/>
        <v/>
      </c>
      <c r="I469" s="182"/>
      <c r="J469" s="182"/>
      <c r="K469" s="182"/>
      <c r="M469" s="139" t="str">
        <f t="shared" si="52"/>
        <v/>
      </c>
      <c r="N469" s="139" t="str">
        <f t="shared" si="53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9"/>
        <v/>
      </c>
      <c r="E470" s="149"/>
      <c r="F470" s="144" t="str">
        <f t="shared" si="50"/>
        <v/>
      </c>
      <c r="G470" s="183"/>
      <c r="H470" s="144" t="str">
        <f t="shared" si="51"/>
        <v/>
      </c>
      <c r="I470" s="182"/>
      <c r="J470" s="182"/>
      <c r="K470" s="182"/>
      <c r="M470" s="139" t="str">
        <f t="shared" si="52"/>
        <v/>
      </c>
      <c r="N470" s="139" t="str">
        <f t="shared" si="53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9"/>
        <v/>
      </c>
      <c r="E471" s="149"/>
      <c r="F471" s="144" t="str">
        <f t="shared" si="50"/>
        <v/>
      </c>
      <c r="G471" s="183"/>
      <c r="H471" s="144" t="str">
        <f t="shared" si="51"/>
        <v/>
      </c>
      <c r="I471" s="182"/>
      <c r="J471" s="182"/>
      <c r="K471" s="182"/>
      <c r="M471" s="139" t="str">
        <f t="shared" si="52"/>
        <v/>
      </c>
      <c r="N471" s="139" t="str">
        <f t="shared" si="53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9"/>
        <v/>
      </c>
      <c r="E472" s="149"/>
      <c r="F472" s="144" t="str">
        <f t="shared" si="50"/>
        <v/>
      </c>
      <c r="G472" s="183"/>
      <c r="H472" s="144" t="str">
        <f t="shared" si="51"/>
        <v/>
      </c>
      <c r="I472" s="182"/>
      <c r="J472" s="182"/>
      <c r="K472" s="182"/>
      <c r="M472" s="139" t="str">
        <f t="shared" si="52"/>
        <v/>
      </c>
      <c r="N472" s="139" t="str">
        <f t="shared" si="53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9"/>
        <v/>
      </c>
      <c r="E473" s="149"/>
      <c r="F473" s="144" t="str">
        <f t="shared" si="50"/>
        <v/>
      </c>
      <c r="G473" s="183"/>
      <c r="H473" s="144" t="str">
        <f t="shared" si="51"/>
        <v/>
      </c>
      <c r="I473" s="182"/>
      <c r="J473" s="182"/>
      <c r="K473" s="182"/>
      <c r="M473" s="139" t="str">
        <f t="shared" si="52"/>
        <v/>
      </c>
      <c r="N473" s="139" t="str">
        <f t="shared" si="53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9"/>
        <v/>
      </c>
      <c r="E474" s="149"/>
      <c r="F474" s="144" t="str">
        <f t="shared" si="50"/>
        <v/>
      </c>
      <c r="G474" s="183"/>
      <c r="H474" s="144" t="str">
        <f t="shared" si="51"/>
        <v/>
      </c>
      <c r="I474" s="182"/>
      <c r="J474" s="182"/>
      <c r="K474" s="182"/>
      <c r="M474" s="139" t="str">
        <f t="shared" si="52"/>
        <v/>
      </c>
      <c r="N474" s="139" t="str">
        <f t="shared" si="53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9"/>
        <v/>
      </c>
      <c r="E475" s="149"/>
      <c r="F475" s="144" t="str">
        <f t="shared" si="50"/>
        <v/>
      </c>
      <c r="G475" s="183"/>
      <c r="H475" s="144" t="str">
        <f t="shared" si="51"/>
        <v/>
      </c>
      <c r="I475" s="182"/>
      <c r="J475" s="182"/>
      <c r="K475" s="182"/>
      <c r="M475" s="139" t="str">
        <f t="shared" si="52"/>
        <v/>
      </c>
      <c r="N475" s="139" t="str">
        <f t="shared" si="53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9"/>
        <v/>
      </c>
      <c r="E476" s="149"/>
      <c r="F476" s="144" t="str">
        <f t="shared" si="50"/>
        <v/>
      </c>
      <c r="G476" s="183"/>
      <c r="H476" s="144" t="str">
        <f t="shared" si="51"/>
        <v/>
      </c>
      <c r="I476" s="182"/>
      <c r="J476" s="182"/>
      <c r="K476" s="182"/>
      <c r="M476" s="139" t="str">
        <f t="shared" si="52"/>
        <v/>
      </c>
      <c r="N476" s="139" t="str">
        <f t="shared" si="53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9"/>
        <v/>
      </c>
      <c r="E477" s="149"/>
      <c r="F477" s="144" t="str">
        <f t="shared" si="50"/>
        <v/>
      </c>
      <c r="G477" s="183"/>
      <c r="H477" s="144" t="str">
        <f t="shared" si="51"/>
        <v/>
      </c>
      <c r="I477" s="182"/>
      <c r="J477" s="182"/>
      <c r="K477" s="182"/>
      <c r="M477" s="139" t="str">
        <f t="shared" si="52"/>
        <v/>
      </c>
      <c r="N477" s="139" t="str">
        <f t="shared" si="53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9"/>
        <v/>
      </c>
      <c r="E478" s="149"/>
      <c r="F478" s="144" t="str">
        <f t="shared" si="50"/>
        <v/>
      </c>
      <c r="G478" s="183"/>
      <c r="H478" s="144" t="str">
        <f t="shared" si="51"/>
        <v/>
      </c>
      <c r="I478" s="182"/>
      <c r="J478" s="182"/>
      <c r="K478" s="182"/>
      <c r="M478" s="139" t="str">
        <f t="shared" si="52"/>
        <v/>
      </c>
      <c r="N478" s="139" t="str">
        <f t="shared" si="53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9"/>
        <v/>
      </c>
      <c r="E479" s="149"/>
      <c r="F479" s="144" t="str">
        <f t="shared" si="50"/>
        <v/>
      </c>
      <c r="G479" s="183"/>
      <c r="H479" s="144" t="str">
        <f t="shared" si="51"/>
        <v/>
      </c>
      <c r="I479" s="182"/>
      <c r="J479" s="182"/>
      <c r="K479" s="182"/>
      <c r="M479" s="139" t="str">
        <f t="shared" si="52"/>
        <v/>
      </c>
      <c r="N479" s="139" t="str">
        <f t="shared" si="53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9"/>
        <v/>
      </c>
      <c r="E480" s="149"/>
      <c r="F480" s="144" t="str">
        <f t="shared" si="50"/>
        <v/>
      </c>
      <c r="G480" s="183"/>
      <c r="H480" s="144" t="str">
        <f t="shared" si="51"/>
        <v/>
      </c>
      <c r="I480" s="182"/>
      <c r="J480" s="182"/>
      <c r="K480" s="182"/>
      <c r="M480" s="139" t="str">
        <f t="shared" si="52"/>
        <v/>
      </c>
      <c r="N480" s="139" t="str">
        <f t="shared" si="53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9"/>
        <v/>
      </c>
      <c r="E481" s="149"/>
      <c r="F481" s="144" t="str">
        <f t="shared" si="50"/>
        <v/>
      </c>
      <c r="G481" s="183"/>
      <c r="H481" s="144" t="str">
        <f t="shared" si="51"/>
        <v/>
      </c>
      <c r="I481" s="182"/>
      <c r="J481" s="182"/>
      <c r="K481" s="182"/>
      <c r="M481" s="139" t="str">
        <f t="shared" si="52"/>
        <v/>
      </c>
      <c r="N481" s="139" t="str">
        <f t="shared" si="53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9"/>
        <v/>
      </c>
      <c r="E482" s="149"/>
      <c r="F482" s="144" t="str">
        <f t="shared" si="50"/>
        <v/>
      </c>
      <c r="G482" s="183"/>
      <c r="H482" s="144" t="str">
        <f t="shared" si="51"/>
        <v/>
      </c>
      <c r="I482" s="182"/>
      <c r="J482" s="182"/>
      <c r="K482" s="182"/>
      <c r="M482" s="139" t="str">
        <f t="shared" si="52"/>
        <v/>
      </c>
      <c r="N482" s="139" t="str">
        <f t="shared" si="53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9"/>
        <v/>
      </c>
      <c r="E483" s="149"/>
      <c r="F483" s="144" t="str">
        <f t="shared" si="50"/>
        <v/>
      </c>
      <c r="G483" s="183"/>
      <c r="H483" s="144" t="str">
        <f t="shared" si="51"/>
        <v/>
      </c>
      <c r="I483" s="182"/>
      <c r="J483" s="182"/>
      <c r="K483" s="182"/>
      <c r="M483" s="139" t="str">
        <f t="shared" si="52"/>
        <v/>
      </c>
      <c r="N483" s="139" t="str">
        <f t="shared" si="53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9"/>
        <v/>
      </c>
      <c r="E484" s="149"/>
      <c r="F484" s="144" t="str">
        <f t="shared" si="50"/>
        <v/>
      </c>
      <c r="G484" s="183"/>
      <c r="H484" s="144" t="str">
        <f t="shared" si="51"/>
        <v/>
      </c>
      <c r="I484" s="182"/>
      <c r="J484" s="182"/>
      <c r="K484" s="182"/>
      <c r="M484" s="139" t="str">
        <f t="shared" si="52"/>
        <v/>
      </c>
      <c r="N484" s="139" t="str">
        <f t="shared" si="53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9"/>
        <v/>
      </c>
      <c r="E485" s="149"/>
      <c r="F485" s="144" t="str">
        <f t="shared" si="50"/>
        <v/>
      </c>
      <c r="G485" s="183"/>
      <c r="H485" s="144" t="str">
        <f t="shared" si="51"/>
        <v/>
      </c>
      <c r="I485" s="182"/>
      <c r="J485" s="182"/>
      <c r="K485" s="182"/>
      <c r="M485" s="139" t="str">
        <f t="shared" si="52"/>
        <v/>
      </c>
      <c r="N485" s="139" t="str">
        <f t="shared" si="53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9"/>
        <v/>
      </c>
      <c r="E486" s="149"/>
      <c r="F486" s="144" t="str">
        <f t="shared" si="50"/>
        <v/>
      </c>
      <c r="G486" s="183"/>
      <c r="H486" s="144" t="str">
        <f t="shared" si="51"/>
        <v/>
      </c>
      <c r="I486" s="182"/>
      <c r="J486" s="182"/>
      <c r="K486" s="182"/>
      <c r="M486" s="139" t="str">
        <f t="shared" si="52"/>
        <v/>
      </c>
      <c r="N486" s="139" t="str">
        <f t="shared" si="53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9"/>
        <v/>
      </c>
      <c r="E487" s="149"/>
      <c r="F487" s="144" t="str">
        <f t="shared" si="50"/>
        <v/>
      </c>
      <c r="G487" s="183"/>
      <c r="H487" s="144" t="str">
        <f t="shared" si="51"/>
        <v/>
      </c>
      <c r="I487" s="182"/>
      <c r="J487" s="182"/>
      <c r="K487" s="182"/>
      <c r="M487" s="139" t="str">
        <f t="shared" si="52"/>
        <v/>
      </c>
      <c r="N487" s="139" t="str">
        <f t="shared" si="53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9"/>
        <v/>
      </c>
      <c r="E488" s="149"/>
      <c r="F488" s="144" t="str">
        <f t="shared" si="50"/>
        <v/>
      </c>
      <c r="G488" s="183"/>
      <c r="H488" s="144" t="str">
        <f t="shared" si="51"/>
        <v/>
      </c>
      <c r="I488" s="182"/>
      <c r="J488" s="182"/>
      <c r="K488" s="182"/>
      <c r="M488" s="139" t="str">
        <f t="shared" si="52"/>
        <v/>
      </c>
      <c r="N488" s="139" t="str">
        <f t="shared" si="53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9"/>
        <v/>
      </c>
      <c r="E489" s="149"/>
      <c r="F489" s="144" t="str">
        <f t="shared" si="50"/>
        <v/>
      </c>
      <c r="G489" s="183"/>
      <c r="H489" s="144" t="str">
        <f t="shared" si="51"/>
        <v/>
      </c>
      <c r="I489" s="182"/>
      <c r="J489" s="182"/>
      <c r="K489" s="182"/>
      <c r="M489" s="139" t="str">
        <f t="shared" si="52"/>
        <v/>
      </c>
      <c r="N489" s="139" t="str">
        <f t="shared" si="53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9"/>
        <v/>
      </c>
      <c r="E490" s="149"/>
      <c r="F490" s="144" t="str">
        <f t="shared" si="50"/>
        <v/>
      </c>
      <c r="G490" s="183"/>
      <c r="H490" s="144" t="str">
        <f t="shared" si="51"/>
        <v/>
      </c>
      <c r="I490" s="182"/>
      <c r="J490" s="182"/>
      <c r="K490" s="182"/>
      <c r="M490" s="139" t="str">
        <f t="shared" si="52"/>
        <v/>
      </c>
      <c r="N490" s="139" t="str">
        <f t="shared" si="53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9"/>
        <v/>
      </c>
      <c r="E491" s="149"/>
      <c r="F491" s="144" t="str">
        <f t="shared" si="50"/>
        <v/>
      </c>
      <c r="G491" s="183"/>
      <c r="H491" s="144" t="str">
        <f t="shared" si="51"/>
        <v/>
      </c>
      <c r="I491" s="182"/>
      <c r="J491" s="182"/>
      <c r="K491" s="182"/>
      <c r="M491" s="139" t="str">
        <f t="shared" si="52"/>
        <v/>
      </c>
      <c r="N491" s="139" t="str">
        <f t="shared" si="53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9"/>
        <v/>
      </c>
      <c r="E492" s="149"/>
      <c r="F492" s="144" t="str">
        <f t="shared" si="50"/>
        <v/>
      </c>
      <c r="G492" s="183"/>
      <c r="H492" s="144" t="str">
        <f t="shared" si="51"/>
        <v/>
      </c>
      <c r="I492" s="182"/>
      <c r="J492" s="182"/>
      <c r="K492" s="182"/>
      <c r="M492" s="139" t="str">
        <f t="shared" si="52"/>
        <v/>
      </c>
      <c r="N492" s="139" t="str">
        <f t="shared" si="53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9"/>
        <v/>
      </c>
      <c r="E493" s="149"/>
      <c r="F493" s="144" t="str">
        <f t="shared" si="50"/>
        <v/>
      </c>
      <c r="G493" s="183"/>
      <c r="H493" s="144" t="str">
        <f t="shared" si="51"/>
        <v/>
      </c>
      <c r="I493" s="182"/>
      <c r="J493" s="182"/>
      <c r="K493" s="182"/>
      <c r="M493" s="139" t="str">
        <f t="shared" si="52"/>
        <v/>
      </c>
      <c r="N493" s="139" t="str">
        <f t="shared" si="53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9"/>
        <v/>
      </c>
      <c r="E494" s="149"/>
      <c r="F494" s="144" t="str">
        <f t="shared" si="50"/>
        <v/>
      </c>
      <c r="G494" s="183"/>
      <c r="H494" s="144" t="str">
        <f t="shared" si="51"/>
        <v/>
      </c>
      <c r="I494" s="182"/>
      <c r="J494" s="182"/>
      <c r="K494" s="182"/>
      <c r="M494" s="139" t="str">
        <f t="shared" si="52"/>
        <v/>
      </c>
      <c r="N494" s="139" t="str">
        <f t="shared" si="53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9"/>
        <v/>
      </c>
      <c r="E495" s="149"/>
      <c r="F495" s="144" t="str">
        <f t="shared" si="50"/>
        <v/>
      </c>
      <c r="G495" s="183"/>
      <c r="H495" s="144" t="str">
        <f t="shared" si="51"/>
        <v/>
      </c>
      <c r="I495" s="182"/>
      <c r="J495" s="182"/>
      <c r="K495" s="182"/>
      <c r="M495" s="139" t="str">
        <f t="shared" si="52"/>
        <v/>
      </c>
      <c r="N495" s="139" t="str">
        <f t="shared" si="53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9"/>
        <v/>
      </c>
      <c r="E496" s="149"/>
      <c r="F496" s="144" t="str">
        <f t="shared" si="50"/>
        <v/>
      </c>
      <c r="G496" s="183"/>
      <c r="H496" s="144" t="str">
        <f t="shared" si="51"/>
        <v/>
      </c>
      <c r="I496" s="182"/>
      <c r="J496" s="182"/>
      <c r="K496" s="182"/>
      <c r="M496" s="139" t="str">
        <f t="shared" si="52"/>
        <v/>
      </c>
      <c r="N496" s="139" t="str">
        <f t="shared" si="53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9"/>
        <v/>
      </c>
      <c r="E497" s="149"/>
      <c r="F497" s="144" t="str">
        <f t="shared" si="50"/>
        <v/>
      </c>
      <c r="G497" s="183"/>
      <c r="H497" s="144" t="str">
        <f t="shared" si="51"/>
        <v/>
      </c>
      <c r="I497" s="182"/>
      <c r="J497" s="182"/>
      <c r="K497" s="182"/>
      <c r="M497" s="139" t="str">
        <f t="shared" si="52"/>
        <v/>
      </c>
      <c r="N497" s="139" t="str">
        <f t="shared" si="53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9"/>
        <v/>
      </c>
      <c r="E498" s="149"/>
      <c r="F498" s="144" t="str">
        <f t="shared" si="50"/>
        <v/>
      </c>
      <c r="G498" s="183"/>
      <c r="H498" s="144" t="str">
        <f t="shared" si="51"/>
        <v/>
      </c>
      <c r="I498" s="182"/>
      <c r="J498" s="182"/>
      <c r="K498" s="182"/>
      <c r="M498" s="139" t="str">
        <f t="shared" si="52"/>
        <v/>
      </c>
      <c r="N498" s="139" t="str">
        <f t="shared" si="53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9"/>
        <v/>
      </c>
      <c r="E499" s="149"/>
      <c r="F499" s="144" t="str">
        <f t="shared" si="50"/>
        <v/>
      </c>
      <c r="G499" s="183"/>
      <c r="H499" s="144" t="str">
        <f t="shared" si="51"/>
        <v/>
      </c>
      <c r="I499" s="182"/>
      <c r="J499" s="182"/>
      <c r="K499" s="182"/>
      <c r="M499" s="139" t="str">
        <f t="shared" si="52"/>
        <v/>
      </c>
      <c r="N499" s="139" t="str">
        <f t="shared" si="53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9"/>
        <v/>
      </c>
      <c r="E500" s="149"/>
      <c r="F500" s="144" t="str">
        <f t="shared" si="50"/>
        <v/>
      </c>
      <c r="G500" s="183"/>
      <c r="H500" s="144" t="str">
        <f t="shared" si="51"/>
        <v/>
      </c>
      <c r="I500" s="182"/>
      <c r="J500" s="182"/>
      <c r="K500" s="182"/>
      <c r="M500" s="139" t="str">
        <f t="shared" si="52"/>
        <v/>
      </c>
      <c r="N500" s="139" t="str">
        <f t="shared" si="53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9"/>
        <v/>
      </c>
      <c r="E501" s="149"/>
      <c r="F501" s="144" t="str">
        <f t="shared" si="50"/>
        <v/>
      </c>
      <c r="G501" s="183"/>
      <c r="H501" s="144" t="str">
        <f t="shared" si="51"/>
        <v/>
      </c>
      <c r="I501" s="182"/>
      <c r="J501" s="182"/>
      <c r="K501" s="182"/>
      <c r="M501" s="139" t="str">
        <f t="shared" si="52"/>
        <v/>
      </c>
      <c r="N501" s="139" t="str">
        <f t="shared" si="53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21"/>
  <sheetViews>
    <sheetView showGridLines="0" topLeftCell="C1" zoomScale="90" zoomScaleNormal="90" workbookViewId="0">
      <selection activeCell="K51" sqref="K51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41.28515625" style="139" customWidth="1"/>
    <col min="5" max="5" width="16.42578125" style="139" customWidth="1"/>
    <col min="6" max="6" width="57.57031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3" t="s">
        <v>766</v>
      </c>
      <c r="B1" s="273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>IFERROR(VLOOKUP(A3,$R$8:$S$23,2,FALSE),"")</f>
        <v>Ostale pomoći</v>
      </c>
      <c r="C3" s="149">
        <v>3111</v>
      </c>
      <c r="D3" s="144" t="str">
        <f>IFERROR(VLOOKUP(C3,$U$5:$W$126,2,FALSE),"")</f>
        <v>Plaće za redovan rad</v>
      </c>
      <c r="E3" s="183" t="s">
        <v>2313</v>
      </c>
      <c r="F3" s="144" t="str">
        <f>IFERROR(VLOOKUP(E3,$AA$8:$AB$1015,2,FALSE),"")</f>
        <v>Provedba HKO-a na razini visokog obrazovanja - EFRI</v>
      </c>
      <c r="G3" s="182">
        <v>240321</v>
      </c>
      <c r="H3" s="182">
        <v>0</v>
      </c>
      <c r="I3" s="182">
        <v>0</v>
      </c>
      <c r="J3" s="198"/>
      <c r="K3" s="197">
        <v>43546</v>
      </c>
      <c r="L3" s="197" t="s">
        <v>3502</v>
      </c>
      <c r="M3" s="198" t="s">
        <v>3503</v>
      </c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52</v>
      </c>
      <c r="B4" s="144" t="str">
        <f>IFERROR(VLOOKUP(A4,$R$8:$S$23,2,FALSE),"")</f>
        <v>Ostale pomoći</v>
      </c>
      <c r="C4" s="149">
        <v>3132</v>
      </c>
      <c r="D4" s="144" t="str">
        <f>IFERROR(VLOOKUP(C4,$U$5:$W$126,2,FALSE),"")</f>
        <v>Doprinosi za obvezno zdravstveno osiguranje</v>
      </c>
      <c r="E4" s="183" t="s">
        <v>2313</v>
      </c>
      <c r="F4" s="144" t="str">
        <f>IFERROR(VLOOKUP(E4,$AA$8:$AB$1015,2,FALSE),"")</f>
        <v>Provedba HKO-a na razini visokog obrazovanja - EFRI</v>
      </c>
      <c r="G4" s="182">
        <v>76059</v>
      </c>
      <c r="H4" s="182">
        <v>0</v>
      </c>
      <c r="I4" s="182">
        <v>0</v>
      </c>
      <c r="J4" s="198"/>
      <c r="K4" s="197">
        <v>43547</v>
      </c>
      <c r="L4" s="197" t="s">
        <v>3502</v>
      </c>
      <c r="M4" s="198" t="s">
        <v>3503</v>
      </c>
      <c r="N4" s="198"/>
      <c r="P4" s="139" t="str">
        <f t="shared" ref="P4:P64" si="0">LEFT(C4,3)</f>
        <v>313</v>
      </c>
      <c r="Q4" s="139" t="str">
        <f t="shared" ref="Q4:Q64" si="1">LEFT(C4,2)</f>
        <v>31</v>
      </c>
      <c r="U4" s="145"/>
      <c r="V4" s="145"/>
    </row>
    <row r="5" spans="1:28">
      <c r="A5" s="149">
        <v>52</v>
      </c>
      <c r="B5" s="144" t="str">
        <f>IFERROR(VLOOKUP(A5,$R$8:$S$23,2,FALSE),"")</f>
        <v>Ostale pomoći</v>
      </c>
      <c r="C5" s="149">
        <v>3241</v>
      </c>
      <c r="D5" s="144" t="str">
        <f>IFERROR(VLOOKUP(C5,$U$5:$W$126,2,FALSE),"")</f>
        <v>Naknade troškova osobama izvan radnog odnosa</v>
      </c>
      <c r="E5" s="183" t="s">
        <v>2313</v>
      </c>
      <c r="F5" s="144" t="str">
        <f>IFERROR(VLOOKUP(E5,$AA$8:$AB$1015,2,FALSE),"")</f>
        <v>Provedba HKO-a na razini visokog obrazovanja - EFRI</v>
      </c>
      <c r="G5" s="182">
        <v>5530</v>
      </c>
      <c r="H5" s="182">
        <v>0</v>
      </c>
      <c r="I5" s="182">
        <v>0</v>
      </c>
      <c r="J5" s="198"/>
      <c r="K5" s="197">
        <v>43547</v>
      </c>
      <c r="L5" s="197" t="s">
        <v>3502</v>
      </c>
      <c r="M5" s="198" t="s">
        <v>3503</v>
      </c>
      <c r="N5" s="198"/>
      <c r="P5" s="139" t="str">
        <f t="shared" si="0"/>
        <v>324</v>
      </c>
      <c r="Q5" s="139" t="str">
        <f t="shared" si="1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5" si="2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/>
      <c r="C6" s="149"/>
      <c r="D6" s="144"/>
      <c r="E6" s="183"/>
      <c r="F6" s="144"/>
      <c r="G6" s="182"/>
      <c r="H6" s="182"/>
      <c r="I6" s="182"/>
      <c r="J6" s="198"/>
      <c r="K6" s="197"/>
      <c r="L6" s="197"/>
      <c r="M6" s="198"/>
      <c r="N6" s="198"/>
    </row>
    <row r="7" spans="1:28">
      <c r="A7" s="149"/>
      <c r="B7" s="144"/>
      <c r="C7" s="149"/>
      <c r="D7" s="144"/>
      <c r="E7" s="183"/>
      <c r="F7" s="144"/>
      <c r="G7" s="182"/>
      <c r="H7" s="182"/>
      <c r="I7" s="182"/>
      <c r="J7" s="198"/>
      <c r="K7" s="197"/>
      <c r="L7" s="197"/>
      <c r="M7" s="198"/>
      <c r="N7" s="198"/>
    </row>
    <row r="8" spans="1:28">
      <c r="A8" s="149">
        <v>52</v>
      </c>
      <c r="B8" s="144" t="str">
        <f t="shared" ref="B8:B26" si="3">IFERROR(VLOOKUP(A8,$R$8:$S$23,2,FALSE),"")</f>
        <v>Ostale pomoći</v>
      </c>
      <c r="C8" s="149">
        <v>3111</v>
      </c>
      <c r="D8" s="144" t="str">
        <f t="shared" ref="D8:D19" si="4">IFERROR(VLOOKUP(C8,$U$5:$W$126,2,FALSE),"")</f>
        <v>Plaće za redovan rad</v>
      </c>
      <c r="E8" s="183" t="s">
        <v>2420</v>
      </c>
      <c r="F8" s="144" t="str">
        <f t="shared" ref="F8:F71" si="5">IFERROR(VLOOKUP(E8,$AA$8:$AB$1015,2,FALSE),"")</f>
        <v>ERASMUS + E-laboratory for digital education (LaDiEd)</v>
      </c>
      <c r="G8" s="182">
        <v>27639</v>
      </c>
      <c r="H8" s="182">
        <v>60950</v>
      </c>
      <c r="I8" s="182">
        <v>0</v>
      </c>
      <c r="J8" s="198"/>
      <c r="K8" s="197" t="s">
        <v>3504</v>
      </c>
      <c r="L8" s="197" t="s">
        <v>3505</v>
      </c>
      <c r="M8" s="198" t="s">
        <v>3506</v>
      </c>
      <c r="N8" s="198"/>
      <c r="P8" s="139" t="str">
        <f t="shared" si="0"/>
        <v>311</v>
      </c>
      <c r="Q8" s="139" t="str">
        <f t="shared" si="1"/>
        <v>31</v>
      </c>
      <c r="R8" s="139">
        <v>11</v>
      </c>
      <c r="S8" s="139" t="s">
        <v>50</v>
      </c>
      <c r="U8" s="139">
        <v>3112</v>
      </c>
      <c r="V8" s="139" t="s">
        <v>150</v>
      </c>
      <c r="X8" s="139" t="str">
        <f t="shared" si="2"/>
        <v>31</v>
      </c>
      <c r="Y8" s="139" t="str">
        <f t="shared" ref="Y8:Y66" si="6">LEFT(U8,3)</f>
        <v>311</v>
      </c>
      <c r="AA8" s="139" t="s">
        <v>801</v>
      </c>
      <c r="AB8" s="139" t="s">
        <v>801</v>
      </c>
    </row>
    <row r="9" spans="1:28">
      <c r="A9" s="149">
        <v>52</v>
      </c>
      <c r="B9" s="144" t="str">
        <f t="shared" si="3"/>
        <v>Ostale pomoći</v>
      </c>
      <c r="C9" s="149">
        <v>3132</v>
      </c>
      <c r="D9" s="144" t="str">
        <f t="shared" si="4"/>
        <v>Doprinosi za obvezno zdravstveno osiguranje</v>
      </c>
      <c r="E9" s="183" t="s">
        <v>2420</v>
      </c>
      <c r="F9" s="144" t="str">
        <f t="shared" si="5"/>
        <v>ERASMUS + E-laboratory for digital education (LaDiEd)</v>
      </c>
      <c r="G9" s="182">
        <v>4560</v>
      </c>
      <c r="H9" s="182">
        <v>10050</v>
      </c>
      <c r="I9" s="182">
        <v>0</v>
      </c>
      <c r="J9" s="198"/>
      <c r="K9" s="197" t="s">
        <v>3504</v>
      </c>
      <c r="L9" s="197" t="s">
        <v>3505</v>
      </c>
      <c r="M9" s="198" t="s">
        <v>3506</v>
      </c>
      <c r="N9" s="198"/>
      <c r="P9" s="139" t="str">
        <f t="shared" si="0"/>
        <v>313</v>
      </c>
      <c r="Q9" s="139" t="str">
        <f t="shared" si="1"/>
        <v>31</v>
      </c>
      <c r="R9" s="139">
        <v>12</v>
      </c>
      <c r="S9" s="139" t="s">
        <v>257</v>
      </c>
      <c r="U9" s="139">
        <v>3113</v>
      </c>
      <c r="V9" s="139" t="s">
        <v>129</v>
      </c>
      <c r="X9" s="139" t="str">
        <f t="shared" si="2"/>
        <v>31</v>
      </c>
      <c r="Y9" s="139" t="str">
        <f t="shared" si="6"/>
        <v>311</v>
      </c>
      <c r="AA9" s="139" t="s">
        <v>1313</v>
      </c>
      <c r="AB9" s="139" t="s">
        <v>1314</v>
      </c>
    </row>
    <row r="10" spans="1:28">
      <c r="A10" s="149">
        <v>52</v>
      </c>
      <c r="B10" s="144" t="str">
        <f t="shared" si="3"/>
        <v>Ostale pomoći</v>
      </c>
      <c r="C10" s="149">
        <v>3522</v>
      </c>
      <c r="D10" s="144" t="str">
        <f t="shared" si="4"/>
        <v>Subvencije trgovačkim društvima izvan javnog sektora</v>
      </c>
      <c r="E10" s="183" t="s">
        <v>2420</v>
      </c>
      <c r="F10" s="144" t="str">
        <f t="shared" si="5"/>
        <v>ERASMUS + E-laboratory for digital education (LaDiEd)</v>
      </c>
      <c r="G10" s="182">
        <v>0</v>
      </c>
      <c r="H10" s="182">
        <v>10000</v>
      </c>
      <c r="I10" s="182">
        <v>0</v>
      </c>
      <c r="J10" s="198"/>
      <c r="K10" s="197" t="s">
        <v>3504</v>
      </c>
      <c r="L10" s="197" t="s">
        <v>3505</v>
      </c>
      <c r="M10" s="198" t="s">
        <v>3506</v>
      </c>
      <c r="N10" s="198"/>
      <c r="P10" s="139" t="str">
        <f t="shared" si="0"/>
        <v>352</v>
      </c>
      <c r="Q10" s="139" t="str">
        <f t="shared" si="1"/>
        <v>35</v>
      </c>
      <c r="R10" s="139">
        <v>31</v>
      </c>
      <c r="S10" s="139" t="s">
        <v>95</v>
      </c>
      <c r="U10" s="139">
        <v>3114</v>
      </c>
      <c r="V10" s="139" t="s">
        <v>151</v>
      </c>
      <c r="X10" s="139" t="str">
        <f t="shared" si="2"/>
        <v>31</v>
      </c>
      <c r="Y10" s="139" t="str">
        <f t="shared" si="6"/>
        <v>311</v>
      </c>
      <c r="AA10" s="139" t="s">
        <v>1315</v>
      </c>
      <c r="AB10" s="139" t="s">
        <v>1316</v>
      </c>
    </row>
    <row r="11" spans="1:28">
      <c r="A11" s="149">
        <v>52</v>
      </c>
      <c r="B11" s="144" t="str">
        <f t="shared" si="3"/>
        <v>Ostale pomoći</v>
      </c>
      <c r="C11" s="149">
        <v>3611</v>
      </c>
      <c r="D11" s="144" t="str">
        <f t="shared" si="4"/>
        <v>Tekuće pomoći inozemnim vladama</v>
      </c>
      <c r="E11" s="183" t="s">
        <v>2420</v>
      </c>
      <c r="F11" s="144" t="str">
        <f t="shared" si="5"/>
        <v>ERASMUS + E-laboratory for digital education (LaDiEd)</v>
      </c>
      <c r="G11" s="182">
        <v>0</v>
      </c>
      <c r="H11" s="182">
        <v>43000</v>
      </c>
      <c r="I11" s="182">
        <v>0</v>
      </c>
      <c r="J11" s="198"/>
      <c r="K11" s="197" t="s">
        <v>3504</v>
      </c>
      <c r="L11" s="197" t="s">
        <v>3505</v>
      </c>
      <c r="M11" s="198" t="s">
        <v>3506</v>
      </c>
      <c r="N11" s="198"/>
      <c r="P11" s="139" t="str">
        <f t="shared" si="0"/>
        <v>361</v>
      </c>
      <c r="Q11" s="139" t="str">
        <f t="shared" si="1"/>
        <v>36</v>
      </c>
      <c r="R11">
        <v>41</v>
      </c>
      <c r="S11" t="s">
        <v>1353</v>
      </c>
      <c r="U11" s="139">
        <v>3121</v>
      </c>
      <c r="V11" s="139" t="s">
        <v>54</v>
      </c>
      <c r="X11" s="139" t="str">
        <f t="shared" si="2"/>
        <v>31</v>
      </c>
      <c r="Y11" s="139" t="str">
        <f t="shared" si="6"/>
        <v>312</v>
      </c>
      <c r="AA11" s="139" t="s">
        <v>1317</v>
      </c>
      <c r="AB11" s="139" t="s">
        <v>1318</v>
      </c>
    </row>
    <row r="12" spans="1:28">
      <c r="A12" s="149">
        <v>52</v>
      </c>
      <c r="B12" s="144" t="str">
        <f t="shared" si="3"/>
        <v>Ostale pomoći</v>
      </c>
      <c r="C12" s="149">
        <v>3299</v>
      </c>
      <c r="D12" s="144" t="str">
        <f t="shared" si="4"/>
        <v>Ostali nespomenuti rashodi poslovanja</v>
      </c>
      <c r="E12" s="183" t="s">
        <v>2420</v>
      </c>
      <c r="F12" s="144" t="str">
        <f t="shared" si="5"/>
        <v>ERASMUS + E-laboratory for digital education (LaDiEd)</v>
      </c>
      <c r="G12" s="182">
        <v>0</v>
      </c>
      <c r="H12" s="182">
        <v>0</v>
      </c>
      <c r="I12" s="182">
        <v>0</v>
      </c>
      <c r="J12" s="198"/>
      <c r="K12" s="197" t="s">
        <v>3504</v>
      </c>
      <c r="L12" s="197" t="s">
        <v>3505</v>
      </c>
      <c r="M12" s="198" t="s">
        <v>3506</v>
      </c>
      <c r="N12" s="198"/>
      <c r="P12" s="139" t="str">
        <f t="shared" si="0"/>
        <v>329</v>
      </c>
      <c r="Q12" s="139" t="str">
        <f t="shared" si="1"/>
        <v>32</v>
      </c>
      <c r="R12" s="139">
        <v>43</v>
      </c>
      <c r="S12" s="139" t="s">
        <v>100</v>
      </c>
      <c r="U12" s="192">
        <v>3132</v>
      </c>
      <c r="V12" s="192" t="s">
        <v>55</v>
      </c>
      <c r="W12" s="192"/>
      <c r="X12" s="192" t="str">
        <f t="shared" si="2"/>
        <v>31</v>
      </c>
      <c r="Y12" s="192" t="str">
        <f t="shared" si="6"/>
        <v>313</v>
      </c>
      <c r="AA12" s="139" t="s">
        <v>1319</v>
      </c>
      <c r="AB12" s="139" t="s">
        <v>341</v>
      </c>
    </row>
    <row r="13" spans="1:28">
      <c r="A13" s="149">
        <v>51</v>
      </c>
      <c r="B13" s="144" t="str">
        <f t="shared" si="3"/>
        <v>Pomoći EU</v>
      </c>
      <c r="C13" s="149">
        <v>3111</v>
      </c>
      <c r="D13" s="144" t="str">
        <f t="shared" si="4"/>
        <v>Plaće za redovan rad</v>
      </c>
      <c r="E13" s="183" t="s">
        <v>2418</v>
      </c>
      <c r="F13" s="144" t="str">
        <f t="shared" si="5"/>
        <v>ERASMUS +  Inclusion through CrowdFunding”("InCrowd”)</v>
      </c>
      <c r="G13" s="182">
        <v>59226</v>
      </c>
      <c r="H13" s="182">
        <v>85835</v>
      </c>
      <c r="I13" s="182">
        <v>0</v>
      </c>
      <c r="J13" s="198"/>
      <c r="K13" s="197" t="s">
        <v>3507</v>
      </c>
      <c r="L13" s="197" t="s">
        <v>3508</v>
      </c>
      <c r="M13" s="198" t="s">
        <v>3506</v>
      </c>
      <c r="N13" s="198"/>
      <c r="P13" s="139" t="str">
        <f t="shared" si="0"/>
        <v>311</v>
      </c>
      <c r="Q13" s="139" t="str">
        <f t="shared" si="1"/>
        <v>31</v>
      </c>
      <c r="R13" s="139">
        <v>51</v>
      </c>
      <c r="S13" s="139" t="s">
        <v>90</v>
      </c>
      <c r="U13" s="139">
        <v>3211</v>
      </c>
      <c r="V13" s="139" t="s">
        <v>82</v>
      </c>
      <c r="X13" s="139" t="str">
        <f t="shared" si="2"/>
        <v>32</v>
      </c>
      <c r="Y13" s="139" t="str">
        <f t="shared" si="6"/>
        <v>321</v>
      </c>
      <c r="AA13" s="139" t="s">
        <v>1320</v>
      </c>
      <c r="AB13" s="139" t="s">
        <v>1321</v>
      </c>
    </row>
    <row r="14" spans="1:28">
      <c r="A14" s="149">
        <v>51</v>
      </c>
      <c r="B14" s="144" t="str">
        <f t="shared" si="3"/>
        <v>Pomoći EU</v>
      </c>
      <c r="C14" s="149">
        <v>3132</v>
      </c>
      <c r="D14" s="144" t="str">
        <f t="shared" si="4"/>
        <v>Doprinosi za obvezno zdravstveno osiguranje</v>
      </c>
      <c r="E14" s="183" t="s">
        <v>2418</v>
      </c>
      <c r="F14" s="144" t="str">
        <f t="shared" si="5"/>
        <v>ERASMUS +  Inclusion through CrowdFunding”("InCrowd”)</v>
      </c>
      <c r="G14" s="182">
        <v>9774</v>
      </c>
      <c r="H14" s="182">
        <v>14165</v>
      </c>
      <c r="I14" s="182">
        <v>0</v>
      </c>
      <c r="J14" s="198"/>
      <c r="K14" s="197" t="s">
        <v>3507</v>
      </c>
      <c r="L14" s="197" t="s">
        <v>3508</v>
      </c>
      <c r="M14" s="198" t="s">
        <v>3506</v>
      </c>
      <c r="N14" s="198"/>
      <c r="P14" s="139" t="str">
        <f t="shared" si="0"/>
        <v>313</v>
      </c>
      <c r="Q14" s="139" t="str">
        <f t="shared" si="1"/>
        <v>31</v>
      </c>
      <c r="R14" s="139">
        <v>52</v>
      </c>
      <c r="S14" s="139" t="s">
        <v>113</v>
      </c>
      <c r="U14" s="139">
        <v>3212</v>
      </c>
      <c r="V14" s="139" t="s">
        <v>56</v>
      </c>
      <c r="X14" s="139" t="str">
        <f t="shared" si="2"/>
        <v>32</v>
      </c>
      <c r="Y14" s="139" t="str">
        <f t="shared" si="6"/>
        <v>321</v>
      </c>
      <c r="AA14" s="139" t="s">
        <v>1322</v>
      </c>
      <c r="AB14" s="139" t="s">
        <v>1323</v>
      </c>
    </row>
    <row r="15" spans="1:28">
      <c r="A15" s="149">
        <v>51</v>
      </c>
      <c r="B15" s="144" t="str">
        <f t="shared" si="3"/>
        <v>Pomoći EU</v>
      </c>
      <c r="C15" s="149">
        <v>3211</v>
      </c>
      <c r="D15" s="144" t="str">
        <f t="shared" si="4"/>
        <v>Službena putovanja</v>
      </c>
      <c r="E15" s="183" t="s">
        <v>2418</v>
      </c>
      <c r="F15" s="144" t="str">
        <f t="shared" si="5"/>
        <v>ERASMUS +  Inclusion through CrowdFunding”("InCrowd”)</v>
      </c>
      <c r="G15" s="182">
        <v>3450</v>
      </c>
      <c r="H15" s="182">
        <v>5000</v>
      </c>
      <c r="I15" s="182">
        <v>0</v>
      </c>
      <c r="J15" s="198"/>
      <c r="K15" s="197" t="s">
        <v>3507</v>
      </c>
      <c r="L15" s="197" t="s">
        <v>3508</v>
      </c>
      <c r="M15" s="198" t="s">
        <v>3506</v>
      </c>
      <c r="N15" s="198"/>
      <c r="P15" s="139" t="str">
        <f t="shared" si="0"/>
        <v>321</v>
      </c>
      <c r="Q15" s="139" t="str">
        <f t="shared" si="1"/>
        <v>32</v>
      </c>
      <c r="R15">
        <v>552</v>
      </c>
      <c r="S15" t="s">
        <v>1354</v>
      </c>
      <c r="U15" s="139">
        <v>3213</v>
      </c>
      <c r="V15" s="139" t="s">
        <v>101</v>
      </c>
      <c r="X15" s="139" t="str">
        <f t="shared" si="2"/>
        <v>32</v>
      </c>
      <c r="Y15" s="139" t="str">
        <f t="shared" si="6"/>
        <v>321</v>
      </c>
      <c r="AA15" s="139" t="s">
        <v>1324</v>
      </c>
      <c r="AB15" s="139" t="s">
        <v>1325</v>
      </c>
    </row>
    <row r="16" spans="1:28">
      <c r="A16" s="149">
        <v>51</v>
      </c>
      <c r="B16" s="144" t="str">
        <f t="shared" si="3"/>
        <v>Pomoći EU</v>
      </c>
      <c r="C16" s="149">
        <v>3213</v>
      </c>
      <c r="D16" s="144" t="str">
        <f t="shared" si="4"/>
        <v>Stručno usavršavanje zaposlenika</v>
      </c>
      <c r="E16" s="183" t="s">
        <v>2418</v>
      </c>
      <c r="F16" s="144" t="str">
        <f t="shared" si="5"/>
        <v>ERASMUS +  Inclusion through CrowdFunding”("InCrowd”)</v>
      </c>
      <c r="G16" s="182">
        <v>10350</v>
      </c>
      <c r="H16" s="182">
        <v>15000</v>
      </c>
      <c r="I16" s="182">
        <v>0</v>
      </c>
      <c r="J16" s="198"/>
      <c r="K16" s="197" t="s">
        <v>3507</v>
      </c>
      <c r="L16" s="197" t="s">
        <v>3508</v>
      </c>
      <c r="M16" s="198" t="s">
        <v>3506</v>
      </c>
      <c r="N16" s="198"/>
      <c r="P16" s="139" t="str">
        <f t="shared" si="0"/>
        <v>321</v>
      </c>
      <c r="Q16" s="139" t="str">
        <f t="shared" si="1"/>
        <v>32</v>
      </c>
      <c r="R16">
        <v>559</v>
      </c>
      <c r="S16" t="s">
        <v>1355</v>
      </c>
      <c r="U16" s="139">
        <v>3214</v>
      </c>
      <c r="V16" s="139" t="s">
        <v>130</v>
      </c>
      <c r="X16" s="139" t="str">
        <f t="shared" si="2"/>
        <v>32</v>
      </c>
      <c r="Y16" s="139" t="str">
        <f t="shared" si="6"/>
        <v>321</v>
      </c>
      <c r="AA16" s="139" t="s">
        <v>1326</v>
      </c>
      <c r="AB16" s="139" t="s">
        <v>1327</v>
      </c>
    </row>
    <row r="17" spans="1:28">
      <c r="A17" s="149">
        <v>51</v>
      </c>
      <c r="B17" s="144" t="str">
        <f t="shared" si="3"/>
        <v>Pomoći EU</v>
      </c>
      <c r="C17" s="149">
        <v>3111</v>
      </c>
      <c r="D17" s="144" t="str">
        <f t="shared" si="4"/>
        <v>Plaće za redovan rad</v>
      </c>
      <c r="E17" s="183" t="s">
        <v>2315</v>
      </c>
      <c r="F17" s="144" t="str">
        <f t="shared" si="5"/>
        <v>Social and Creative - EFRI</v>
      </c>
      <c r="G17" s="182">
        <v>224940</v>
      </c>
      <c r="H17" s="182">
        <v>80600</v>
      </c>
      <c r="I17" s="182">
        <v>0</v>
      </c>
      <c r="J17" s="198"/>
      <c r="K17" s="197" t="s">
        <v>3509</v>
      </c>
      <c r="L17" s="197" t="s">
        <v>3510</v>
      </c>
      <c r="M17" s="198" t="s">
        <v>3511</v>
      </c>
      <c r="N17" s="198"/>
      <c r="P17" s="139" t="str">
        <f t="shared" si="0"/>
        <v>311</v>
      </c>
      <c r="Q17" s="139" t="str">
        <f t="shared" si="1"/>
        <v>31</v>
      </c>
      <c r="R17" s="139">
        <v>563</v>
      </c>
      <c r="S17" s="139" t="s">
        <v>117</v>
      </c>
      <c r="U17" s="139">
        <v>3222</v>
      </c>
      <c r="V17" s="139" t="s">
        <v>104</v>
      </c>
      <c r="X17" s="139" t="str">
        <f t="shared" si="2"/>
        <v>32</v>
      </c>
      <c r="Y17" s="139" t="str">
        <f t="shared" si="6"/>
        <v>322</v>
      </c>
      <c r="AA17" s="139" t="s">
        <v>1278</v>
      </c>
      <c r="AB17" s="139" t="s">
        <v>1279</v>
      </c>
    </row>
    <row r="18" spans="1:28">
      <c r="A18" s="149">
        <v>51</v>
      </c>
      <c r="B18" s="144" t="str">
        <f t="shared" si="3"/>
        <v>Pomoći EU</v>
      </c>
      <c r="C18" s="149">
        <v>3132</v>
      </c>
      <c r="D18" s="144" t="str">
        <f t="shared" si="4"/>
        <v>Doprinosi za obvezno zdravstveno osiguranje</v>
      </c>
      <c r="E18" s="183" t="s">
        <v>2315</v>
      </c>
      <c r="F18" s="144" t="str">
        <f t="shared" si="5"/>
        <v>Social and Creative - EFRI</v>
      </c>
      <c r="G18" s="182">
        <v>37260</v>
      </c>
      <c r="H18" s="182">
        <v>13320</v>
      </c>
      <c r="I18" s="182">
        <v>0</v>
      </c>
      <c r="J18" s="198"/>
      <c r="K18" s="197" t="s">
        <v>3509</v>
      </c>
      <c r="L18" s="197" t="s">
        <v>3510</v>
      </c>
      <c r="M18" s="198" t="s">
        <v>3511</v>
      </c>
      <c r="N18" s="198"/>
      <c r="P18" s="139" t="str">
        <f t="shared" si="0"/>
        <v>313</v>
      </c>
      <c r="Q18" s="139" t="str">
        <f t="shared" si="1"/>
        <v>31</v>
      </c>
      <c r="R18" s="139">
        <v>573</v>
      </c>
      <c r="S18" t="s">
        <v>1365</v>
      </c>
      <c r="U18" s="139">
        <v>3223</v>
      </c>
      <c r="V18" s="139" t="s">
        <v>92</v>
      </c>
      <c r="X18" s="139" t="str">
        <f t="shared" si="2"/>
        <v>32</v>
      </c>
      <c r="Y18" s="139" t="str">
        <f t="shared" si="6"/>
        <v>322</v>
      </c>
      <c r="AA18" s="139" t="s">
        <v>1280</v>
      </c>
      <c r="AB18" s="139" t="s">
        <v>1281</v>
      </c>
    </row>
    <row r="19" spans="1:28">
      <c r="A19" s="149">
        <v>51</v>
      </c>
      <c r="B19" s="144" t="str">
        <f t="shared" si="3"/>
        <v>Pomoći EU</v>
      </c>
      <c r="C19" s="149">
        <v>3211</v>
      </c>
      <c r="D19" s="144" t="str">
        <f t="shared" si="4"/>
        <v>Službena putovanja</v>
      </c>
      <c r="E19" s="183" t="s">
        <v>2315</v>
      </c>
      <c r="F19" s="144" t="str">
        <f t="shared" si="5"/>
        <v>Social and Creative - EFRI</v>
      </c>
      <c r="G19" s="182">
        <v>20700</v>
      </c>
      <c r="H19" s="182">
        <v>0</v>
      </c>
      <c r="I19" s="182">
        <v>0</v>
      </c>
      <c r="J19" s="198"/>
      <c r="K19" s="197" t="s">
        <v>3509</v>
      </c>
      <c r="L19" s="197" t="s">
        <v>3510</v>
      </c>
      <c r="M19" s="198" t="s">
        <v>3511</v>
      </c>
      <c r="N19" s="198"/>
      <c r="P19" s="139" t="str">
        <f t="shared" si="0"/>
        <v>321</v>
      </c>
      <c r="Q19" s="139" t="str">
        <f t="shared" si="1"/>
        <v>32</v>
      </c>
      <c r="R19">
        <v>575</v>
      </c>
      <c r="S19" t="s">
        <v>1367</v>
      </c>
      <c r="U19" s="139">
        <v>3224</v>
      </c>
      <c r="V19" s="139" t="s">
        <v>97</v>
      </c>
      <c r="X19" s="139" t="str">
        <f t="shared" si="2"/>
        <v>32</v>
      </c>
      <c r="Y19" s="139" t="str">
        <f t="shared" si="6"/>
        <v>322</v>
      </c>
      <c r="AA19" s="139" t="s">
        <v>1282</v>
      </c>
      <c r="AB19" s="139" t="s">
        <v>1283</v>
      </c>
    </row>
    <row r="20" spans="1:28">
      <c r="A20" s="149">
        <v>51</v>
      </c>
      <c r="B20" s="144" t="str">
        <f t="shared" si="3"/>
        <v>Pomoći EU</v>
      </c>
      <c r="C20" s="149">
        <v>3221</v>
      </c>
      <c r="D20" s="144" t="s">
        <v>3523</v>
      </c>
      <c r="E20" s="183" t="s">
        <v>2315</v>
      </c>
      <c r="F20" s="144" t="str">
        <f t="shared" si="5"/>
        <v>Social and Creative - EFRI</v>
      </c>
      <c r="G20" s="182">
        <v>82800</v>
      </c>
      <c r="H20" s="182">
        <v>0</v>
      </c>
      <c r="I20" s="182">
        <v>0</v>
      </c>
      <c r="J20" s="198"/>
      <c r="K20" s="197" t="s">
        <v>3509</v>
      </c>
      <c r="L20" s="197" t="s">
        <v>3510</v>
      </c>
      <c r="M20" s="198" t="s">
        <v>3511</v>
      </c>
      <c r="N20" s="198"/>
      <c r="P20" s="139" t="str">
        <f t="shared" si="0"/>
        <v>322</v>
      </c>
      <c r="Q20" s="139" t="str">
        <f t="shared" si="1"/>
        <v>32</v>
      </c>
      <c r="R20" s="203">
        <v>576</v>
      </c>
      <c r="S20" s="239" t="s">
        <v>1904</v>
      </c>
      <c r="U20" s="139">
        <v>3225</v>
      </c>
      <c r="V20" s="139" t="s">
        <v>105</v>
      </c>
      <c r="X20" s="139" t="str">
        <f t="shared" si="2"/>
        <v>32</v>
      </c>
      <c r="Y20" s="139" t="str">
        <f t="shared" si="6"/>
        <v>322</v>
      </c>
      <c r="AA20" s="139" t="s">
        <v>1284</v>
      </c>
      <c r="AB20" s="139" t="s">
        <v>997</v>
      </c>
    </row>
    <row r="21" spans="1:28">
      <c r="A21" s="149">
        <v>51</v>
      </c>
      <c r="B21" s="144" t="str">
        <f t="shared" si="3"/>
        <v>Pomoći EU</v>
      </c>
      <c r="C21" s="149">
        <v>3237</v>
      </c>
      <c r="D21" s="144" t="str">
        <f>IFERROR(VLOOKUP(C21,$U$5:$W$126,2,FALSE),"")</f>
        <v>Intelektualne i osobne usluge</v>
      </c>
      <c r="E21" s="183" t="s">
        <v>2315</v>
      </c>
      <c r="F21" s="144" t="str">
        <f t="shared" si="5"/>
        <v>Social and Creative - EFRI</v>
      </c>
      <c r="G21" s="182">
        <v>324300</v>
      </c>
      <c r="H21" s="182">
        <v>0</v>
      </c>
      <c r="I21" s="182">
        <v>0</v>
      </c>
      <c r="J21" s="198"/>
      <c r="K21" s="197" t="s">
        <v>3509</v>
      </c>
      <c r="L21" s="197" t="s">
        <v>3510</v>
      </c>
      <c r="M21" s="198" t="s">
        <v>3511</v>
      </c>
      <c r="N21" s="198"/>
      <c r="P21" s="139" t="str">
        <f t="shared" si="0"/>
        <v>323</v>
      </c>
      <c r="Q21" s="139" t="str">
        <f t="shared" si="1"/>
        <v>32</v>
      </c>
      <c r="R21" s="210">
        <v>581</v>
      </c>
      <c r="S21" s="211" t="s">
        <v>1988</v>
      </c>
      <c r="U21" s="139">
        <v>3226</v>
      </c>
      <c r="V21" s="139" t="s">
        <v>179</v>
      </c>
      <c r="X21" s="139" t="str">
        <f t="shared" si="2"/>
        <v>32</v>
      </c>
      <c r="Y21" s="139" t="str">
        <f t="shared" si="6"/>
        <v>322</v>
      </c>
      <c r="AA21" s="139" t="s">
        <v>1285</v>
      </c>
      <c r="AB21" s="139" t="s">
        <v>999</v>
      </c>
    </row>
    <row r="22" spans="1:28">
      <c r="A22" s="149">
        <v>51</v>
      </c>
      <c r="B22" s="144" t="str">
        <f t="shared" si="3"/>
        <v>Pomoći EU</v>
      </c>
      <c r="C22" s="149">
        <v>3111</v>
      </c>
      <c r="D22" s="144" t="str">
        <f>IFERROR(VLOOKUP(C22,$U$5:$W$126,2,FALSE),"")</f>
        <v>Plaće za redovan rad</v>
      </c>
      <c r="E22" s="183" t="s">
        <v>2311</v>
      </c>
      <c r="F22" s="144" t="str">
        <f t="shared" si="5"/>
        <v>Capacity Building of BLUE Economy Stakeholders to Effectively use CROWFUNDING</v>
      </c>
      <c r="G22" s="182">
        <v>189529</v>
      </c>
      <c r="H22" s="182">
        <v>0</v>
      </c>
      <c r="I22" s="182">
        <v>0</v>
      </c>
      <c r="J22" s="198"/>
      <c r="K22" s="197" t="s">
        <v>3512</v>
      </c>
      <c r="L22" s="197" t="s">
        <v>3510</v>
      </c>
      <c r="M22" s="198" t="s">
        <v>3513</v>
      </c>
      <c r="N22" s="198"/>
      <c r="P22" s="139" t="str">
        <f t="shared" si="0"/>
        <v>311</v>
      </c>
      <c r="Q22" s="139" t="str">
        <f t="shared" si="1"/>
        <v>31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2"/>
        <v>32</v>
      </c>
      <c r="Y22" s="139" t="str">
        <f t="shared" si="6"/>
        <v>323</v>
      </c>
      <c r="AA22" s="139" t="s">
        <v>1287</v>
      </c>
      <c r="AB22" s="139" t="s">
        <v>1288</v>
      </c>
    </row>
    <row r="23" spans="1:28">
      <c r="A23" s="149">
        <v>51</v>
      </c>
      <c r="B23" s="144" t="str">
        <f t="shared" si="3"/>
        <v>Pomoći EU</v>
      </c>
      <c r="C23" s="149">
        <v>3132</v>
      </c>
      <c r="D23" s="144" t="str">
        <f>IFERROR(VLOOKUP(C23,$U$5:$W$126,2,FALSE),"")</f>
        <v>Doprinosi za obvezno zdravstveno osiguranje</v>
      </c>
      <c r="E23" s="183" t="s">
        <v>2311</v>
      </c>
      <c r="F23" s="144" t="str">
        <f t="shared" si="5"/>
        <v>Capacity Building of BLUE Economy Stakeholders to Effectively use CROWFUNDING</v>
      </c>
      <c r="G23" s="182">
        <v>31271</v>
      </c>
      <c r="H23" s="182">
        <v>0</v>
      </c>
      <c r="I23" s="182">
        <v>0</v>
      </c>
      <c r="J23" s="198"/>
      <c r="K23" s="197" t="s">
        <v>3512</v>
      </c>
      <c r="L23" s="197" t="s">
        <v>3510</v>
      </c>
      <c r="M23" s="198" t="s">
        <v>3513</v>
      </c>
      <c r="N23" s="198"/>
      <c r="P23" s="139" t="str">
        <f t="shared" si="0"/>
        <v>313</v>
      </c>
      <c r="Q23" s="139" t="str">
        <f t="shared" si="1"/>
        <v>31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2"/>
        <v>32</v>
      </c>
      <c r="Y23" s="139" t="str">
        <f t="shared" si="6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 t="shared" si="3"/>
        <v>Pomoći EU</v>
      </c>
      <c r="C24" s="149">
        <v>3211</v>
      </c>
      <c r="D24" s="144" t="str">
        <f>IFERROR(VLOOKUP(C24,$U$5:$W$126,2,FALSE),"")</f>
        <v>Službena putovanja</v>
      </c>
      <c r="E24" s="183" t="s">
        <v>2311</v>
      </c>
      <c r="F24" s="144" t="str">
        <f t="shared" si="5"/>
        <v>Capacity Building of BLUE Economy Stakeholders to Effectively use CROWFUNDING</v>
      </c>
      <c r="G24" s="182">
        <v>20700</v>
      </c>
      <c r="H24" s="182">
        <v>0</v>
      </c>
      <c r="I24" s="182">
        <v>0</v>
      </c>
      <c r="J24" s="198"/>
      <c r="K24" s="197" t="s">
        <v>3512</v>
      </c>
      <c r="L24" s="197" t="s">
        <v>3510</v>
      </c>
      <c r="M24" s="198" t="s">
        <v>3513</v>
      </c>
      <c r="N24" s="198"/>
      <c r="P24" s="139" t="str">
        <f t="shared" si="0"/>
        <v>321</v>
      </c>
      <c r="Q24" s="139" t="str">
        <f t="shared" si="1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2"/>
        <v>32</v>
      </c>
      <c r="Y24" s="139" t="str">
        <f t="shared" si="6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3"/>
        <v>Pomoći EU</v>
      </c>
      <c r="C25" s="149">
        <v>3221</v>
      </c>
      <c r="D25" s="144" t="s">
        <v>3523</v>
      </c>
      <c r="E25" s="183" t="s">
        <v>2311</v>
      </c>
      <c r="F25" s="144" t="str">
        <f t="shared" si="5"/>
        <v>Capacity Building of BLUE Economy Stakeholders to Effectively use CROWFUNDING</v>
      </c>
      <c r="G25" s="182">
        <v>48300</v>
      </c>
      <c r="H25" s="182">
        <v>0</v>
      </c>
      <c r="I25" s="182">
        <v>0</v>
      </c>
      <c r="J25" s="198"/>
      <c r="K25" s="197" t="s">
        <v>3512</v>
      </c>
      <c r="L25" s="197" t="s">
        <v>3510</v>
      </c>
      <c r="M25" s="198" t="s">
        <v>3513</v>
      </c>
      <c r="N25" s="198"/>
      <c r="P25" s="139" t="str">
        <f t="shared" si="0"/>
        <v>322</v>
      </c>
      <c r="Q25" s="139" t="str">
        <f t="shared" si="1"/>
        <v>32</v>
      </c>
      <c r="U25" s="139">
        <v>3234</v>
      </c>
      <c r="V25" s="139" t="s">
        <v>94</v>
      </c>
      <c r="X25" s="139" t="str">
        <f t="shared" si="2"/>
        <v>32</v>
      </c>
      <c r="Y25" s="139" t="str">
        <f t="shared" si="6"/>
        <v>323</v>
      </c>
      <c r="AA25" s="139" t="s">
        <v>1293</v>
      </c>
      <c r="AB25" s="139" t="s">
        <v>1294</v>
      </c>
    </row>
    <row r="26" spans="1:28">
      <c r="A26" s="149">
        <v>51</v>
      </c>
      <c r="B26" s="144" t="str">
        <f t="shared" si="3"/>
        <v>Pomoći EU</v>
      </c>
      <c r="C26" s="149">
        <v>3237</v>
      </c>
      <c r="D26" s="144" t="str">
        <f t="shared" ref="D26:D35" si="7">IFERROR(VLOOKUP(C26,$U$5:$W$126,2,FALSE),"")</f>
        <v>Intelektualne i osobne usluge</v>
      </c>
      <c r="E26" s="183" t="s">
        <v>2311</v>
      </c>
      <c r="F26" s="144" t="str">
        <f t="shared" si="5"/>
        <v>Capacity Building of BLUE Economy Stakeholders to Effectively use CROWFUNDING</v>
      </c>
      <c r="G26" s="182">
        <v>172500</v>
      </c>
      <c r="H26" s="182">
        <v>0</v>
      </c>
      <c r="I26" s="182">
        <v>0</v>
      </c>
      <c r="J26" s="198"/>
      <c r="K26" s="197" t="s">
        <v>3512</v>
      </c>
      <c r="L26" s="197" t="s">
        <v>3510</v>
      </c>
      <c r="M26" s="198" t="s">
        <v>3513</v>
      </c>
      <c r="N26" s="198"/>
      <c r="P26" s="139" t="str">
        <f t="shared" si="0"/>
        <v>323</v>
      </c>
      <c r="Q26" s="139" t="str">
        <f t="shared" si="1"/>
        <v>32</v>
      </c>
      <c r="U26" s="139">
        <v>3235</v>
      </c>
      <c r="V26" s="139" t="s">
        <v>114</v>
      </c>
      <c r="X26" s="139" t="str">
        <f t="shared" si="2"/>
        <v>32</v>
      </c>
      <c r="Y26" s="139" t="str">
        <f t="shared" si="6"/>
        <v>323</v>
      </c>
      <c r="AA26" s="139" t="s">
        <v>1295</v>
      </c>
      <c r="AB26" s="139" t="s">
        <v>1296</v>
      </c>
    </row>
    <row r="27" spans="1:28">
      <c r="A27" s="149">
        <v>61</v>
      </c>
      <c r="B27" s="144" t="s">
        <v>119</v>
      </c>
      <c r="C27" s="149">
        <v>3211</v>
      </c>
      <c r="D27" s="144" t="str">
        <f t="shared" si="7"/>
        <v>Službena putovanja</v>
      </c>
      <c r="E27" s="183" t="s">
        <v>2317</v>
      </c>
      <c r="F27" s="144" t="str">
        <f t="shared" si="5"/>
        <v>MI – jučer, danas, sutra</v>
      </c>
      <c r="G27" s="182">
        <v>25232</v>
      </c>
      <c r="H27" s="182">
        <v>30000</v>
      </c>
      <c r="I27" s="182">
        <v>25000</v>
      </c>
      <c r="J27" s="198"/>
      <c r="K27" s="197" t="s">
        <v>3514</v>
      </c>
      <c r="L27" s="197" t="s">
        <v>3515</v>
      </c>
      <c r="M27" s="198" t="s">
        <v>3516</v>
      </c>
      <c r="N27" s="198"/>
      <c r="P27" s="139" t="str">
        <f t="shared" si="0"/>
        <v>321</v>
      </c>
      <c r="Q27" s="139" t="str">
        <f t="shared" si="1"/>
        <v>32</v>
      </c>
      <c r="U27" s="139">
        <v>3237</v>
      </c>
      <c r="V27" s="139" t="s">
        <v>70</v>
      </c>
      <c r="X27" s="139" t="str">
        <f t="shared" si="2"/>
        <v>32</v>
      </c>
      <c r="Y27" s="139" t="str">
        <f t="shared" si="6"/>
        <v>323</v>
      </c>
      <c r="AA27" s="139" t="s">
        <v>1299</v>
      </c>
      <c r="AB27" s="139" t="s">
        <v>1300</v>
      </c>
    </row>
    <row r="28" spans="1:28">
      <c r="A28" s="149">
        <v>61</v>
      </c>
      <c r="B28" s="144" t="s">
        <v>119</v>
      </c>
      <c r="C28" s="149">
        <v>3213</v>
      </c>
      <c r="D28" s="144" t="str">
        <f t="shared" si="7"/>
        <v>Stručno usavršavanje zaposlenika</v>
      </c>
      <c r="E28" s="183" t="s">
        <v>2317</v>
      </c>
      <c r="F28" s="144" t="str">
        <f t="shared" si="5"/>
        <v>MI – jučer, danas, sutra</v>
      </c>
      <c r="G28" s="182">
        <v>4162</v>
      </c>
      <c r="H28" s="182">
        <v>5000</v>
      </c>
      <c r="I28" s="182">
        <v>5000</v>
      </c>
      <c r="J28" s="198"/>
      <c r="K28" s="197" t="s">
        <v>3514</v>
      </c>
      <c r="L28" s="197" t="s">
        <v>3515</v>
      </c>
      <c r="M28" s="198" t="s">
        <v>3516</v>
      </c>
      <c r="N28" s="198"/>
      <c r="P28" s="139" t="str">
        <f t="shared" si="0"/>
        <v>321</v>
      </c>
      <c r="Q28" s="139" t="str">
        <f t="shared" si="1"/>
        <v>32</v>
      </c>
      <c r="U28" s="139">
        <v>3238</v>
      </c>
      <c r="V28" s="139" t="s">
        <v>107</v>
      </c>
      <c r="X28" s="139" t="str">
        <f t="shared" si="2"/>
        <v>32</v>
      </c>
      <c r="Y28" s="139" t="str">
        <f t="shared" si="6"/>
        <v>323</v>
      </c>
      <c r="AA28" s="139" t="s">
        <v>1301</v>
      </c>
      <c r="AB28" s="139" t="s">
        <v>1302</v>
      </c>
    </row>
    <row r="29" spans="1:28">
      <c r="A29" s="149">
        <v>61</v>
      </c>
      <c r="B29" s="144" t="s">
        <v>119</v>
      </c>
      <c r="C29" s="149">
        <v>3211</v>
      </c>
      <c r="D29" s="144" t="str">
        <f t="shared" si="7"/>
        <v>Službena putovanja</v>
      </c>
      <c r="E29" s="183" t="s">
        <v>801</v>
      </c>
      <c r="F29" s="144" t="str">
        <f t="shared" si="5"/>
        <v>NOVI PODPROJEKT</v>
      </c>
      <c r="G29" s="182">
        <v>31099</v>
      </c>
      <c r="H29" s="182">
        <v>72103</v>
      </c>
      <c r="I29" s="182">
        <v>0</v>
      </c>
      <c r="J29" s="198" t="s">
        <v>3517</v>
      </c>
      <c r="K29" s="197" t="s">
        <v>3514</v>
      </c>
      <c r="L29" s="197" t="s">
        <v>3508</v>
      </c>
      <c r="M29" s="198" t="s">
        <v>3518</v>
      </c>
      <c r="N29" s="198"/>
      <c r="P29" s="139" t="str">
        <f t="shared" si="0"/>
        <v>321</v>
      </c>
      <c r="Q29" s="139" t="str">
        <f t="shared" si="1"/>
        <v>32</v>
      </c>
      <c r="U29" s="139">
        <v>3241</v>
      </c>
      <c r="V29" s="139" t="s">
        <v>84</v>
      </c>
      <c r="X29" s="139" t="str">
        <f t="shared" si="2"/>
        <v>32</v>
      </c>
      <c r="Y29" s="139" t="str">
        <f t="shared" si="6"/>
        <v>324</v>
      </c>
      <c r="AA29" s="139" t="s">
        <v>1305</v>
      </c>
      <c r="AB29" s="139" t="s">
        <v>1306</v>
      </c>
    </row>
    <row r="30" spans="1:28">
      <c r="A30" s="149">
        <v>61</v>
      </c>
      <c r="B30" s="144" t="s">
        <v>119</v>
      </c>
      <c r="C30" s="149">
        <v>3213</v>
      </c>
      <c r="D30" s="144" t="str">
        <f t="shared" si="7"/>
        <v>Stručno usavršavanje zaposlenika</v>
      </c>
      <c r="E30" s="183" t="s">
        <v>801</v>
      </c>
      <c r="F30" s="144" t="str">
        <f t="shared" si="5"/>
        <v>NOVI PODPROJEKT</v>
      </c>
      <c r="G30" s="182">
        <v>5132</v>
      </c>
      <c r="H30" s="182">
        <v>11323</v>
      </c>
      <c r="I30" s="182">
        <v>0</v>
      </c>
      <c r="J30" s="198" t="s">
        <v>3517</v>
      </c>
      <c r="K30" s="197" t="s">
        <v>3514</v>
      </c>
      <c r="L30" s="197" t="s">
        <v>3508</v>
      </c>
      <c r="M30" s="198" t="s">
        <v>3518</v>
      </c>
      <c r="N30" s="198"/>
      <c r="P30" s="139" t="str">
        <f t="shared" si="0"/>
        <v>321</v>
      </c>
      <c r="Q30" s="139" t="str">
        <f t="shared" si="1"/>
        <v>32</v>
      </c>
      <c r="U30" s="139">
        <v>3291</v>
      </c>
      <c r="V30" s="139" t="s">
        <v>85</v>
      </c>
      <c r="X30" s="139" t="str">
        <f t="shared" si="2"/>
        <v>32</v>
      </c>
      <c r="Y30" s="139" t="str">
        <f t="shared" si="6"/>
        <v>329</v>
      </c>
      <c r="AA30" s="139" t="s">
        <v>1307</v>
      </c>
      <c r="AB30" s="139" t="s">
        <v>1308</v>
      </c>
    </row>
    <row r="31" spans="1:28">
      <c r="A31" s="149">
        <v>561</v>
      </c>
      <c r="B31" s="144" t="s">
        <v>3524</v>
      </c>
      <c r="C31" s="149">
        <v>3111</v>
      </c>
      <c r="D31" s="144" t="str">
        <f t="shared" si="7"/>
        <v>Plaće za redovan rad</v>
      </c>
      <c r="E31" s="183" t="s">
        <v>1000</v>
      </c>
      <c r="F31" s="144" t="str">
        <f t="shared" si="5"/>
        <v>Razvoj, unapređenje i provedba stručne prakse u visokom obrazovanju</v>
      </c>
      <c r="G31" s="182">
        <v>182827</v>
      </c>
      <c r="H31" s="182">
        <v>1308</v>
      </c>
      <c r="I31" s="182">
        <v>0</v>
      </c>
      <c r="J31" s="260" t="s">
        <v>3521</v>
      </c>
      <c r="K31" s="197" t="s">
        <v>3519</v>
      </c>
      <c r="L31" s="197" t="s">
        <v>3505</v>
      </c>
      <c r="M31" s="198" t="s">
        <v>3520</v>
      </c>
      <c r="N31" s="261" t="s">
        <v>3522</v>
      </c>
      <c r="P31" s="139" t="str">
        <f t="shared" si="0"/>
        <v>311</v>
      </c>
      <c r="Q31" s="139" t="str">
        <f t="shared" si="1"/>
        <v>31</v>
      </c>
      <c r="U31" s="139">
        <v>3293</v>
      </c>
      <c r="V31" s="139" t="s">
        <v>88</v>
      </c>
      <c r="X31" s="139" t="str">
        <f t="shared" si="2"/>
        <v>32</v>
      </c>
      <c r="Y31" s="139" t="str">
        <f t="shared" si="6"/>
        <v>329</v>
      </c>
      <c r="AA31" s="139" t="s">
        <v>1311</v>
      </c>
      <c r="AB31" s="139" t="s">
        <v>1312</v>
      </c>
    </row>
    <row r="32" spans="1:28">
      <c r="A32" s="149">
        <v>561</v>
      </c>
      <c r="B32" s="144" t="s">
        <v>3524</v>
      </c>
      <c r="C32" s="149">
        <v>3132</v>
      </c>
      <c r="D32" s="144" t="str">
        <f t="shared" si="7"/>
        <v>Doprinosi za obvezno zdravstveno osiguranje</v>
      </c>
      <c r="E32" s="183" t="s">
        <v>1000</v>
      </c>
      <c r="F32" s="144" t="str">
        <f t="shared" si="5"/>
        <v>Razvoj, unapređenje i provedba stručne prakse u visokom obrazovanju</v>
      </c>
      <c r="G32" s="182">
        <v>30167</v>
      </c>
      <c r="H32" s="182">
        <v>216</v>
      </c>
      <c r="I32" s="182">
        <v>0</v>
      </c>
      <c r="J32" s="198"/>
      <c r="K32" s="197" t="s">
        <v>3519</v>
      </c>
      <c r="L32" s="197" t="s">
        <v>3505</v>
      </c>
      <c r="M32" s="198" t="s">
        <v>3520</v>
      </c>
      <c r="N32" s="198"/>
      <c r="P32" s="139" t="str">
        <f t="shared" si="0"/>
        <v>313</v>
      </c>
      <c r="Q32" s="139" t="str">
        <f t="shared" si="1"/>
        <v>31</v>
      </c>
      <c r="U32" s="139">
        <v>3293</v>
      </c>
      <c r="V32" s="139" t="s">
        <v>135</v>
      </c>
      <c r="X32" s="139" t="str">
        <f t="shared" si="2"/>
        <v>32</v>
      </c>
      <c r="Y32" s="139" t="str">
        <f t="shared" si="6"/>
        <v>329</v>
      </c>
      <c r="AA32" s="139" t="s">
        <v>1398</v>
      </c>
      <c r="AB32" s="139" t="s">
        <v>1333</v>
      </c>
    </row>
    <row r="33" spans="1:28">
      <c r="A33" s="149">
        <v>561</v>
      </c>
      <c r="B33" s="144" t="s">
        <v>3524</v>
      </c>
      <c r="C33" s="149">
        <v>3211</v>
      </c>
      <c r="D33" s="144" t="str">
        <f t="shared" si="7"/>
        <v>Službena putovanja</v>
      </c>
      <c r="E33" s="183" t="s">
        <v>1000</v>
      </c>
      <c r="F33" s="144" t="str">
        <f t="shared" si="5"/>
        <v>Razvoj, unapređenje i provedba stručne prakse u visokom obrazovanju</v>
      </c>
      <c r="G33" s="182">
        <v>33000</v>
      </c>
      <c r="H33" s="182">
        <v>3200</v>
      </c>
      <c r="I33" s="182">
        <v>0</v>
      </c>
      <c r="J33" s="198"/>
      <c r="K33" s="197" t="s">
        <v>3519</v>
      </c>
      <c r="L33" s="197" t="s">
        <v>3505</v>
      </c>
      <c r="M33" s="198" t="s">
        <v>3520</v>
      </c>
      <c r="N33" s="198"/>
      <c r="P33" s="139" t="str">
        <f t="shared" si="0"/>
        <v>321</v>
      </c>
      <c r="Q33" s="139" t="str">
        <f t="shared" si="1"/>
        <v>32</v>
      </c>
      <c r="U33" s="139">
        <v>3294</v>
      </c>
      <c r="V33" s="139" t="s">
        <v>89</v>
      </c>
      <c r="X33" s="139" t="str">
        <f t="shared" si="2"/>
        <v>32</v>
      </c>
      <c r="Y33" s="139" t="str">
        <f t="shared" si="6"/>
        <v>329</v>
      </c>
      <c r="AA33" s="139" t="s">
        <v>2245</v>
      </c>
      <c r="AB33" s="139" t="s">
        <v>2246</v>
      </c>
    </row>
    <row r="34" spans="1:28">
      <c r="A34" s="149">
        <v>561</v>
      </c>
      <c r="B34" s="144" t="s">
        <v>3524</v>
      </c>
      <c r="C34" s="149">
        <v>3213</v>
      </c>
      <c r="D34" s="144" t="str">
        <f t="shared" si="7"/>
        <v>Stručno usavršavanje zaposlenika</v>
      </c>
      <c r="E34" s="183" t="s">
        <v>1000</v>
      </c>
      <c r="F34" s="144" t="str">
        <f t="shared" si="5"/>
        <v>Razvoj, unapređenje i provedba stručne prakse u visokom obrazovanju</v>
      </c>
      <c r="G34" s="182">
        <v>7500</v>
      </c>
      <c r="H34" s="182">
        <v>0</v>
      </c>
      <c r="I34" s="182">
        <v>0</v>
      </c>
      <c r="J34" s="198"/>
      <c r="K34" s="197" t="s">
        <v>3519</v>
      </c>
      <c r="L34" s="197" t="s">
        <v>3505</v>
      </c>
      <c r="M34" s="198" t="s">
        <v>3520</v>
      </c>
      <c r="N34" s="198"/>
      <c r="P34" s="139" t="str">
        <f t="shared" si="0"/>
        <v>321</v>
      </c>
      <c r="Q34" s="139" t="str">
        <f t="shared" si="1"/>
        <v>32</v>
      </c>
      <c r="U34" s="139">
        <v>3295</v>
      </c>
      <c r="V34" s="139" t="s">
        <v>58</v>
      </c>
      <c r="X34" s="139" t="str">
        <f t="shared" si="2"/>
        <v>32</v>
      </c>
      <c r="Y34" s="139" t="str">
        <f t="shared" si="6"/>
        <v>329</v>
      </c>
      <c r="AA34" s="139" t="s">
        <v>802</v>
      </c>
      <c r="AB34" s="139" t="s">
        <v>803</v>
      </c>
    </row>
    <row r="35" spans="1:28">
      <c r="A35" s="149">
        <v>561</v>
      </c>
      <c r="B35" s="144" t="s">
        <v>3524</v>
      </c>
      <c r="C35" s="149">
        <v>3241</v>
      </c>
      <c r="D35" s="144" t="str">
        <f t="shared" si="7"/>
        <v>Naknade troškova osobama izvan radnog odnosa</v>
      </c>
      <c r="E35" s="183" t="s">
        <v>1000</v>
      </c>
      <c r="F35" s="144" t="str">
        <f t="shared" si="5"/>
        <v>Razvoj, unapređenje i provedba stručne prakse u visokom obrazovanju</v>
      </c>
      <c r="G35" s="182">
        <v>60366</v>
      </c>
      <c r="H35" s="182">
        <v>0</v>
      </c>
      <c r="I35" s="182">
        <v>0</v>
      </c>
      <c r="J35" s="198"/>
      <c r="K35" s="197" t="s">
        <v>3519</v>
      </c>
      <c r="L35" s="197" t="s">
        <v>3505</v>
      </c>
      <c r="M35" s="198" t="s">
        <v>3520</v>
      </c>
      <c r="N35" s="198"/>
      <c r="P35" s="139" t="str">
        <f t="shared" si="0"/>
        <v>324</v>
      </c>
      <c r="Q35" s="139" t="str">
        <f t="shared" si="1"/>
        <v>32</v>
      </c>
      <c r="U35" s="139">
        <v>3296</v>
      </c>
      <c r="V35" s="139" t="s">
        <v>152</v>
      </c>
      <c r="X35" s="139" t="str">
        <f t="shared" si="2"/>
        <v>32</v>
      </c>
      <c r="Y35" s="139" t="str">
        <f t="shared" si="6"/>
        <v>329</v>
      </c>
      <c r="AA35" s="139" t="s">
        <v>804</v>
      </c>
      <c r="AB35" s="139" t="s">
        <v>805</v>
      </c>
    </row>
    <row r="36" spans="1:28">
      <c r="A36" s="149">
        <v>561</v>
      </c>
      <c r="B36" s="144" t="s">
        <v>3524</v>
      </c>
      <c r="C36" s="149">
        <v>3221</v>
      </c>
      <c r="D36" s="144" t="s">
        <v>3523</v>
      </c>
      <c r="E36" s="183" t="s">
        <v>1000</v>
      </c>
      <c r="F36" s="144" t="str">
        <f t="shared" si="5"/>
        <v>Razvoj, unapređenje i provedba stručne prakse u visokom obrazovanju</v>
      </c>
      <c r="G36" s="182">
        <v>6900</v>
      </c>
      <c r="H36" s="182">
        <v>0</v>
      </c>
      <c r="I36" s="182">
        <v>0</v>
      </c>
      <c r="J36" s="198"/>
      <c r="K36" s="197" t="s">
        <v>3519</v>
      </c>
      <c r="L36" s="197" t="s">
        <v>3505</v>
      </c>
      <c r="M36" s="198" t="s">
        <v>3520</v>
      </c>
      <c r="N36" s="198"/>
      <c r="P36" s="139" t="str">
        <f t="shared" si="0"/>
        <v>322</v>
      </c>
      <c r="Q36" s="139" t="str">
        <f t="shared" si="1"/>
        <v>32</v>
      </c>
      <c r="U36" s="139">
        <v>3299</v>
      </c>
      <c r="V36" s="139" t="s">
        <v>61</v>
      </c>
      <c r="X36" s="139" t="str">
        <f t="shared" si="2"/>
        <v>32</v>
      </c>
      <c r="Y36" s="139" t="str">
        <f t="shared" si="6"/>
        <v>329</v>
      </c>
      <c r="AA36" s="139" t="s">
        <v>806</v>
      </c>
      <c r="AB36" s="139" t="s">
        <v>807</v>
      </c>
    </row>
    <row r="37" spans="1:28">
      <c r="A37" s="149">
        <v>561</v>
      </c>
      <c r="B37" s="144" t="s">
        <v>3524</v>
      </c>
      <c r="C37" s="149">
        <v>3237</v>
      </c>
      <c r="D37" s="144" t="str">
        <f t="shared" ref="D37:D100" si="8">IFERROR(VLOOKUP(C37,$U$5:$W$126,2,FALSE),"")</f>
        <v>Intelektualne i osobne usluge</v>
      </c>
      <c r="E37" s="183" t="s">
        <v>1000</v>
      </c>
      <c r="F37" s="144" t="str">
        <f t="shared" si="5"/>
        <v>Razvoj, unapređenje i provedba stručne prakse u visokom obrazovanju</v>
      </c>
      <c r="G37" s="182">
        <v>172920</v>
      </c>
      <c r="H37" s="182">
        <v>0</v>
      </c>
      <c r="I37" s="182">
        <v>0</v>
      </c>
      <c r="J37" s="198"/>
      <c r="K37" s="197" t="s">
        <v>3519</v>
      </c>
      <c r="L37" s="197" t="s">
        <v>3505</v>
      </c>
      <c r="M37" s="198" t="s">
        <v>3520</v>
      </c>
      <c r="N37" s="198"/>
      <c r="P37" s="139" t="str">
        <f t="shared" si="0"/>
        <v>323</v>
      </c>
      <c r="Q37" s="139" t="str">
        <f t="shared" si="1"/>
        <v>32</v>
      </c>
      <c r="U37" s="139">
        <v>3411</v>
      </c>
      <c r="V37" s="139" t="s">
        <v>190</v>
      </c>
      <c r="X37" s="139" t="str">
        <f t="shared" si="2"/>
        <v>34</v>
      </c>
      <c r="Y37" s="139" t="str">
        <f t="shared" si="6"/>
        <v>341</v>
      </c>
      <c r="AA37" s="139" t="s">
        <v>808</v>
      </c>
      <c r="AB37" s="139" t="s">
        <v>809</v>
      </c>
    </row>
    <row r="38" spans="1:28">
      <c r="A38" s="149">
        <v>561</v>
      </c>
      <c r="B38" s="144" t="s">
        <v>3524</v>
      </c>
      <c r="C38" s="149">
        <v>3293</v>
      </c>
      <c r="D38" s="144" t="str">
        <f t="shared" si="8"/>
        <v>Reprezentacija</v>
      </c>
      <c r="E38" s="183" t="s">
        <v>1000</v>
      </c>
      <c r="F38" s="144" t="str">
        <f t="shared" si="5"/>
        <v>Razvoj, unapređenje i provedba stručne prakse u visokom obrazovanju</v>
      </c>
      <c r="G38" s="182">
        <v>8600</v>
      </c>
      <c r="H38" s="182">
        <v>5800</v>
      </c>
      <c r="I38" s="182">
        <v>0</v>
      </c>
      <c r="J38" s="198"/>
      <c r="K38" s="197" t="s">
        <v>3519</v>
      </c>
      <c r="L38" s="197" t="s">
        <v>3505</v>
      </c>
      <c r="M38" s="198" t="s">
        <v>3520</v>
      </c>
      <c r="N38" s="198"/>
      <c r="P38" s="139" t="str">
        <f t="shared" si="0"/>
        <v>329</v>
      </c>
      <c r="Q38" s="139" t="str">
        <f t="shared" si="1"/>
        <v>32</v>
      </c>
      <c r="U38" s="139">
        <v>3422</v>
      </c>
      <c r="V38" s="139" t="s">
        <v>153</v>
      </c>
      <c r="X38" s="139" t="str">
        <f t="shared" si="2"/>
        <v>34</v>
      </c>
      <c r="Y38" s="139" t="str">
        <f t="shared" si="6"/>
        <v>342</v>
      </c>
      <c r="AA38" s="139" t="s">
        <v>810</v>
      </c>
      <c r="AB38" s="139" t="s">
        <v>811</v>
      </c>
    </row>
    <row r="39" spans="1:28">
      <c r="A39" s="149">
        <v>561</v>
      </c>
      <c r="B39" s="144" t="s">
        <v>3524</v>
      </c>
      <c r="C39" s="149">
        <v>3239</v>
      </c>
      <c r="D39" s="144" t="str">
        <f t="shared" si="8"/>
        <v/>
      </c>
      <c r="E39" s="183" t="s">
        <v>1000</v>
      </c>
      <c r="F39" s="144" t="str">
        <f t="shared" si="5"/>
        <v>Razvoj, unapređenje i provedba stručne prakse u visokom obrazovanju</v>
      </c>
      <c r="G39" s="182">
        <v>21400</v>
      </c>
      <c r="H39" s="182">
        <v>0</v>
      </c>
      <c r="I39" s="182">
        <v>0</v>
      </c>
      <c r="J39" s="198"/>
      <c r="K39" s="197" t="s">
        <v>3519</v>
      </c>
      <c r="L39" s="197" t="s">
        <v>3505</v>
      </c>
      <c r="M39" s="198" t="s">
        <v>3520</v>
      </c>
      <c r="N39" s="198"/>
      <c r="P39" s="139" t="str">
        <f t="shared" si="0"/>
        <v>323</v>
      </c>
      <c r="Q39" s="139" t="str">
        <f t="shared" si="1"/>
        <v>32</v>
      </c>
      <c r="U39" s="139">
        <v>3423</v>
      </c>
      <c r="V39" s="139" t="s">
        <v>153</v>
      </c>
      <c r="X39" s="139" t="str">
        <f t="shared" si="2"/>
        <v>34</v>
      </c>
      <c r="Y39" s="139" t="str">
        <f t="shared" si="6"/>
        <v>342</v>
      </c>
      <c r="AA39" s="139" t="s">
        <v>812</v>
      </c>
      <c r="AB39" s="139" t="s">
        <v>813</v>
      </c>
    </row>
    <row r="40" spans="1:28">
      <c r="A40" s="149">
        <v>12</v>
      </c>
      <c r="B40" s="144" t="str">
        <f>IFERROR(VLOOKUP(A40,$R$8:$S$23,2,FALSE),"")</f>
        <v>Sredstva učešća za pomoći</v>
      </c>
      <c r="C40" s="149">
        <v>3811</v>
      </c>
      <c r="D40" s="144" t="str">
        <f t="shared" si="8"/>
        <v>Tekuće donacije u novcu</v>
      </c>
      <c r="E40" s="183" t="s">
        <v>1000</v>
      </c>
      <c r="F40" s="144" t="str">
        <f t="shared" si="5"/>
        <v>Razvoj, unapređenje i provedba stručne prakse u visokom obrazovanju</v>
      </c>
      <c r="G40" s="182">
        <v>5366</v>
      </c>
      <c r="H40" s="182">
        <v>0</v>
      </c>
      <c r="I40" s="182">
        <v>0</v>
      </c>
      <c r="J40" s="198"/>
      <c r="K40" s="197" t="s">
        <v>3519</v>
      </c>
      <c r="L40" s="197" t="s">
        <v>3505</v>
      </c>
      <c r="M40" s="198" t="s">
        <v>3520</v>
      </c>
      <c r="N40" s="198"/>
      <c r="P40" s="139" t="str">
        <f t="shared" si="0"/>
        <v>381</v>
      </c>
      <c r="Q40" s="139" t="str">
        <f t="shared" si="1"/>
        <v>38</v>
      </c>
      <c r="U40" s="139">
        <v>3427</v>
      </c>
      <c r="V40" s="139" t="s">
        <v>192</v>
      </c>
      <c r="X40" s="139" t="str">
        <f t="shared" si="2"/>
        <v>34</v>
      </c>
      <c r="Y40" s="139" t="str">
        <f t="shared" si="6"/>
        <v>342</v>
      </c>
      <c r="AA40" s="139" t="s">
        <v>1399</v>
      </c>
      <c r="AB40" s="139" t="s">
        <v>1400</v>
      </c>
    </row>
    <row r="41" spans="1:28">
      <c r="A41" s="149">
        <v>561</v>
      </c>
      <c r="B41" s="144" t="s">
        <v>3524</v>
      </c>
      <c r="C41" s="149">
        <v>3813</v>
      </c>
      <c r="D41" s="144" t="str">
        <f t="shared" si="8"/>
        <v>Tekuće donacije iz EU sredstava</v>
      </c>
      <c r="E41" s="183" t="s">
        <v>1000</v>
      </c>
      <c r="F41" s="144" t="str">
        <f t="shared" si="5"/>
        <v>Razvoj, unapređenje i provedba stručne prakse u visokom obrazovanju</v>
      </c>
      <c r="G41" s="182">
        <v>30409</v>
      </c>
      <c r="H41" s="182">
        <v>0</v>
      </c>
      <c r="I41" s="182">
        <v>0</v>
      </c>
      <c r="J41" s="198"/>
      <c r="K41" s="197" t="s">
        <v>3519</v>
      </c>
      <c r="L41" s="197" t="s">
        <v>3505</v>
      </c>
      <c r="M41" s="198" t="s">
        <v>3520</v>
      </c>
      <c r="N41" s="198"/>
      <c r="P41" s="139" t="str">
        <f t="shared" si="0"/>
        <v>381</v>
      </c>
      <c r="Q41" s="139" t="str">
        <f t="shared" si="1"/>
        <v>38</v>
      </c>
      <c r="U41" s="139">
        <v>3431</v>
      </c>
      <c r="V41" s="139" t="s">
        <v>86</v>
      </c>
      <c r="X41" s="139" t="str">
        <f t="shared" si="2"/>
        <v>34</v>
      </c>
      <c r="Y41" s="139" t="str">
        <f t="shared" si="6"/>
        <v>343</v>
      </c>
      <c r="AA41" s="139" t="s">
        <v>1401</v>
      </c>
      <c r="AB41" s="139" t="s">
        <v>1402</v>
      </c>
    </row>
    <row r="42" spans="1:28">
      <c r="A42" s="149">
        <v>561</v>
      </c>
      <c r="B42" s="144" t="s">
        <v>3524</v>
      </c>
      <c r="C42" s="149">
        <v>3299</v>
      </c>
      <c r="D42" s="144" t="str">
        <f t="shared" si="8"/>
        <v>Ostali nespomenuti rashodi poslovanja</v>
      </c>
      <c r="E42" s="183" t="s">
        <v>1000</v>
      </c>
      <c r="F42" s="144" t="str">
        <f t="shared" si="5"/>
        <v>Razvoj, unapređenje i provedba stručne prakse u visokom obrazovanju</v>
      </c>
      <c r="G42" s="182">
        <v>9482</v>
      </c>
      <c r="H42" s="182">
        <v>229</v>
      </c>
      <c r="I42" s="182">
        <v>0</v>
      </c>
      <c r="J42" s="198"/>
      <c r="K42" s="197" t="s">
        <v>3519</v>
      </c>
      <c r="L42" s="197" t="s">
        <v>3505</v>
      </c>
      <c r="M42" s="198" t="s">
        <v>3520</v>
      </c>
      <c r="N42" s="198"/>
      <c r="P42" s="139" t="str">
        <f t="shared" si="0"/>
        <v>329</v>
      </c>
      <c r="Q42" s="139" t="str">
        <f t="shared" si="1"/>
        <v>32</v>
      </c>
      <c r="U42" s="139">
        <v>3432</v>
      </c>
      <c r="V42" s="139" t="s">
        <v>102</v>
      </c>
      <c r="X42" s="139" t="str">
        <f t="shared" si="2"/>
        <v>34</v>
      </c>
      <c r="Y42" s="139" t="str">
        <f t="shared" si="6"/>
        <v>343</v>
      </c>
      <c r="AA42" s="139" t="s">
        <v>1403</v>
      </c>
      <c r="AB42" s="139" t="s">
        <v>1404</v>
      </c>
    </row>
    <row r="43" spans="1:28">
      <c r="A43" s="149">
        <v>52</v>
      </c>
      <c r="B43" s="144" t="str">
        <f t="shared" ref="B43:B106" si="9">IFERROR(VLOOKUP(A43,$R$8:$S$23,2,FALSE),"")</f>
        <v>Ostale pomoći</v>
      </c>
      <c r="C43" s="149">
        <v>3293</v>
      </c>
      <c r="D43" s="144" t="str">
        <f t="shared" si="8"/>
        <v>Reprezentacija</v>
      </c>
      <c r="E43" s="183" t="s">
        <v>2313</v>
      </c>
      <c r="F43" s="144" t="str">
        <f t="shared" si="5"/>
        <v>Provedba HKO-a na razini visokog obrazovanja - EFRI</v>
      </c>
      <c r="G43" s="182">
        <v>1695</v>
      </c>
      <c r="H43" s="182"/>
      <c r="I43" s="182"/>
      <c r="J43" s="198"/>
      <c r="K43" s="197"/>
      <c r="L43" s="197"/>
      <c r="M43" s="198"/>
      <c r="N43" s="198"/>
      <c r="P43" s="139" t="str">
        <f t="shared" si="0"/>
        <v>329</v>
      </c>
      <c r="Q43" s="139" t="str">
        <f t="shared" si="1"/>
        <v>32</v>
      </c>
      <c r="U43" s="139">
        <v>3433</v>
      </c>
      <c r="V43" s="139" t="s">
        <v>140</v>
      </c>
      <c r="X43" s="139" t="str">
        <f t="shared" si="2"/>
        <v>34</v>
      </c>
      <c r="Y43" s="139" t="str">
        <f t="shared" si="6"/>
        <v>343</v>
      </c>
      <c r="AA43" s="139" t="s">
        <v>1405</v>
      </c>
      <c r="AB43" s="139" t="s">
        <v>1406</v>
      </c>
    </row>
    <row r="44" spans="1:28">
      <c r="A44" s="149"/>
      <c r="B44" s="144" t="str">
        <f t="shared" si="9"/>
        <v/>
      </c>
      <c r="C44" s="149"/>
      <c r="D44" s="144" t="str">
        <f t="shared" si="8"/>
        <v/>
      </c>
      <c r="E44" s="183"/>
      <c r="F44" s="144" t="str">
        <f t="shared" si="5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0"/>
        <v/>
      </c>
      <c r="Q44" s="139" t="str">
        <f t="shared" si="1"/>
        <v/>
      </c>
      <c r="U44" s="139">
        <v>3434</v>
      </c>
      <c r="V44" s="139" t="s">
        <v>71</v>
      </c>
      <c r="X44" s="139" t="str">
        <f t="shared" si="2"/>
        <v>34</v>
      </c>
      <c r="Y44" s="139" t="str">
        <f t="shared" si="6"/>
        <v>343</v>
      </c>
      <c r="AA44" s="139" t="s">
        <v>1407</v>
      </c>
      <c r="AB44" s="139" t="s">
        <v>1408</v>
      </c>
    </row>
    <row r="45" spans="1:28">
      <c r="A45" s="149"/>
      <c r="B45" s="144" t="str">
        <f t="shared" si="9"/>
        <v/>
      </c>
      <c r="C45" s="149"/>
      <c r="D45" s="144" t="str">
        <f t="shared" si="8"/>
        <v/>
      </c>
      <c r="E45" s="183"/>
      <c r="F45" s="144" t="str">
        <f t="shared" si="5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0"/>
        <v/>
      </c>
      <c r="Q45" s="139" t="str">
        <f t="shared" si="1"/>
        <v/>
      </c>
      <c r="U45" s="139">
        <v>3511</v>
      </c>
      <c r="V45" s="139" t="s">
        <v>183</v>
      </c>
      <c r="X45" s="139" t="str">
        <f t="shared" si="2"/>
        <v>35</v>
      </c>
      <c r="Y45" s="139" t="str">
        <f t="shared" si="6"/>
        <v>351</v>
      </c>
      <c r="AA45" s="139" t="s">
        <v>1409</v>
      </c>
      <c r="AB45" s="139" t="s">
        <v>1410</v>
      </c>
    </row>
    <row r="46" spans="1:28">
      <c r="A46" s="149"/>
      <c r="B46" s="144" t="str">
        <f t="shared" si="9"/>
        <v/>
      </c>
      <c r="C46" s="149"/>
      <c r="D46" s="144" t="str">
        <f t="shared" si="8"/>
        <v/>
      </c>
      <c r="E46" s="183"/>
      <c r="F46" s="144" t="str">
        <f t="shared" si="5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0"/>
        <v/>
      </c>
      <c r="Q46" s="139" t="str">
        <f t="shared" si="1"/>
        <v/>
      </c>
      <c r="U46" s="139">
        <v>3512</v>
      </c>
      <c r="V46" s="139" t="s">
        <v>185</v>
      </c>
      <c r="X46" s="139" t="str">
        <f t="shared" si="2"/>
        <v>35</v>
      </c>
      <c r="Y46" s="139" t="str">
        <f t="shared" si="6"/>
        <v>351</v>
      </c>
      <c r="AA46" s="139" t="s">
        <v>1411</v>
      </c>
      <c r="AB46" s="139" t="s">
        <v>1412</v>
      </c>
    </row>
    <row r="47" spans="1:28">
      <c r="A47" s="149"/>
      <c r="B47" s="144" t="str">
        <f t="shared" si="9"/>
        <v/>
      </c>
      <c r="C47" s="149"/>
      <c r="D47" s="144" t="str">
        <f t="shared" si="8"/>
        <v/>
      </c>
      <c r="E47" s="183"/>
      <c r="F47" s="144" t="str">
        <f t="shared" si="5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0"/>
        <v/>
      </c>
      <c r="Q47" s="139" t="str">
        <f t="shared" si="1"/>
        <v/>
      </c>
      <c r="U47" s="139">
        <v>3522</v>
      </c>
      <c r="V47" s="139" t="s">
        <v>259</v>
      </c>
      <c r="X47" s="139" t="str">
        <f t="shared" si="2"/>
        <v>35</v>
      </c>
      <c r="Y47" s="139" t="str">
        <f t="shared" si="6"/>
        <v>352</v>
      </c>
      <c r="AA47" s="139" t="s">
        <v>1413</v>
      </c>
      <c r="AB47" s="139" t="s">
        <v>1414</v>
      </c>
    </row>
    <row r="48" spans="1:28">
      <c r="A48" s="149"/>
      <c r="B48" s="144" t="str">
        <f t="shared" si="9"/>
        <v/>
      </c>
      <c r="C48" s="149"/>
      <c r="D48" s="144" t="str">
        <f t="shared" si="8"/>
        <v/>
      </c>
      <c r="E48" s="183"/>
      <c r="F48" s="144" t="str">
        <f t="shared" si="5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0"/>
        <v/>
      </c>
      <c r="Q48" s="139" t="str">
        <f t="shared" si="1"/>
        <v/>
      </c>
      <c r="U48" s="139">
        <v>3531</v>
      </c>
      <c r="V48" s="139" t="s">
        <v>137</v>
      </c>
      <c r="X48" s="139" t="str">
        <f t="shared" si="2"/>
        <v>35</v>
      </c>
      <c r="Y48" s="139" t="str">
        <f t="shared" si="6"/>
        <v>353</v>
      </c>
      <c r="AA48" s="139" t="s">
        <v>1415</v>
      </c>
      <c r="AB48" s="139" t="s">
        <v>1416</v>
      </c>
    </row>
    <row r="49" spans="1:28">
      <c r="A49" s="149"/>
      <c r="B49" s="144" t="str">
        <f t="shared" si="9"/>
        <v/>
      </c>
      <c r="C49" s="149"/>
      <c r="D49" s="144" t="str">
        <f t="shared" si="8"/>
        <v/>
      </c>
      <c r="E49" s="183"/>
      <c r="F49" s="144" t="str">
        <f t="shared" si="5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0"/>
        <v/>
      </c>
      <c r="Q49" s="139" t="str">
        <f t="shared" si="1"/>
        <v/>
      </c>
      <c r="U49" s="139">
        <v>3611</v>
      </c>
      <c r="V49" s="139" t="s">
        <v>91</v>
      </c>
      <c r="X49" s="139" t="str">
        <f t="shared" si="2"/>
        <v>36</v>
      </c>
      <c r="Y49" s="139" t="str">
        <f t="shared" si="6"/>
        <v>361</v>
      </c>
      <c r="AA49" s="139" t="s">
        <v>1417</v>
      </c>
      <c r="AB49" s="139" t="s">
        <v>1418</v>
      </c>
    </row>
    <row r="50" spans="1:28">
      <c r="A50" s="149"/>
      <c r="B50" s="144" t="str">
        <f t="shared" si="9"/>
        <v/>
      </c>
      <c r="C50" s="149"/>
      <c r="D50" s="144" t="str">
        <f t="shared" si="8"/>
        <v/>
      </c>
      <c r="E50" s="183"/>
      <c r="F50" s="144" t="str">
        <f t="shared" si="5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0"/>
        <v/>
      </c>
      <c r="Q50" s="139" t="str">
        <f t="shared" si="1"/>
        <v/>
      </c>
      <c r="U50" s="139">
        <v>3621</v>
      </c>
      <c r="V50" s="139" t="s">
        <v>141</v>
      </c>
      <c r="X50" s="139" t="str">
        <f t="shared" si="2"/>
        <v>36</v>
      </c>
      <c r="Y50" s="139" t="str">
        <f t="shared" si="6"/>
        <v>362</v>
      </c>
      <c r="AA50" s="139" t="s">
        <v>1419</v>
      </c>
      <c r="AB50" s="139" t="s">
        <v>1420</v>
      </c>
    </row>
    <row r="51" spans="1:28">
      <c r="A51" s="149"/>
      <c r="B51" s="144" t="str">
        <f t="shared" si="9"/>
        <v/>
      </c>
      <c r="C51" s="149"/>
      <c r="D51" s="144" t="str">
        <f t="shared" si="8"/>
        <v/>
      </c>
      <c r="E51" s="183"/>
      <c r="F51" s="144" t="str">
        <f t="shared" si="5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0"/>
        <v/>
      </c>
      <c r="Q51" s="139" t="str">
        <f t="shared" si="1"/>
        <v/>
      </c>
      <c r="U51" s="139">
        <v>3631</v>
      </c>
      <c r="V51" s="139" t="s">
        <v>182</v>
      </c>
      <c r="X51" s="139" t="str">
        <f t="shared" si="2"/>
        <v>36</v>
      </c>
      <c r="Y51" s="139" t="str">
        <f t="shared" si="6"/>
        <v>363</v>
      </c>
      <c r="AA51" s="139" t="s">
        <v>1421</v>
      </c>
      <c r="AB51" s="139" t="s">
        <v>1422</v>
      </c>
    </row>
    <row r="52" spans="1:28">
      <c r="A52" s="149"/>
      <c r="B52" s="144" t="str">
        <f t="shared" si="9"/>
        <v/>
      </c>
      <c r="C52" s="149"/>
      <c r="D52" s="144" t="str">
        <f t="shared" si="8"/>
        <v/>
      </c>
      <c r="E52" s="183"/>
      <c r="F52" s="144" t="str">
        <f t="shared" si="5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0"/>
        <v/>
      </c>
      <c r="Q52" s="139" t="str">
        <f t="shared" si="1"/>
        <v/>
      </c>
      <c r="U52" s="139">
        <v>3632</v>
      </c>
      <c r="V52" s="139" t="s">
        <v>260</v>
      </c>
      <c r="X52" s="139" t="str">
        <f t="shared" si="2"/>
        <v>36</v>
      </c>
      <c r="Y52" s="139" t="str">
        <f t="shared" si="6"/>
        <v>363</v>
      </c>
      <c r="AA52" s="139" t="s">
        <v>1423</v>
      </c>
      <c r="AB52" s="139" t="s">
        <v>1424</v>
      </c>
    </row>
    <row r="53" spans="1:28">
      <c r="A53" s="149"/>
      <c r="B53" s="144" t="str">
        <f t="shared" si="9"/>
        <v/>
      </c>
      <c r="C53" s="149"/>
      <c r="D53" s="144" t="str">
        <f t="shared" si="8"/>
        <v/>
      </c>
      <c r="E53" s="183"/>
      <c r="F53" s="144" t="str">
        <f t="shared" si="5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0"/>
        <v/>
      </c>
      <c r="Q53" s="139" t="str">
        <f t="shared" si="1"/>
        <v/>
      </c>
      <c r="U53" s="139">
        <v>3661</v>
      </c>
      <c r="V53" s="139" t="s">
        <v>103</v>
      </c>
      <c r="X53" s="139" t="str">
        <f t="shared" si="2"/>
        <v>36</v>
      </c>
      <c r="Y53" s="139" t="str">
        <f t="shared" si="6"/>
        <v>366</v>
      </c>
      <c r="AA53" s="139" t="s">
        <v>1425</v>
      </c>
      <c r="AB53" s="139" t="s">
        <v>1426</v>
      </c>
    </row>
    <row r="54" spans="1:28">
      <c r="A54" s="149"/>
      <c r="B54" s="144" t="str">
        <f t="shared" si="9"/>
        <v/>
      </c>
      <c r="C54" s="149"/>
      <c r="D54" s="144" t="str">
        <f t="shared" si="8"/>
        <v/>
      </c>
      <c r="E54" s="183"/>
      <c r="F54" s="144" t="str">
        <f t="shared" si="5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0"/>
        <v/>
      </c>
      <c r="Q54" s="139" t="str">
        <f t="shared" si="1"/>
        <v/>
      </c>
      <c r="U54" s="139">
        <v>3662</v>
      </c>
      <c r="V54" s="139" t="s">
        <v>186</v>
      </c>
      <c r="X54" s="139" t="str">
        <f t="shared" si="2"/>
        <v>36</v>
      </c>
      <c r="Y54" s="139" t="str">
        <f t="shared" si="6"/>
        <v>366</v>
      </c>
      <c r="AA54" s="139" t="s">
        <v>2247</v>
      </c>
      <c r="AB54" s="139" t="s">
        <v>2248</v>
      </c>
    </row>
    <row r="55" spans="1:28">
      <c r="A55" s="149"/>
      <c r="B55" s="144" t="str">
        <f t="shared" si="9"/>
        <v/>
      </c>
      <c r="C55" s="149"/>
      <c r="D55" s="144" t="str">
        <f t="shared" si="8"/>
        <v/>
      </c>
      <c r="E55" s="183"/>
      <c r="F55" s="144" t="str">
        <f t="shared" si="5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0"/>
        <v/>
      </c>
      <c r="Q55" s="139" t="str">
        <f t="shared" si="1"/>
        <v/>
      </c>
      <c r="U55" s="139">
        <v>3681</v>
      </c>
      <c r="V55" s="139" t="s">
        <v>29</v>
      </c>
      <c r="X55" s="139" t="str">
        <f t="shared" si="2"/>
        <v>36</v>
      </c>
      <c r="Y55" s="139" t="str">
        <f t="shared" si="6"/>
        <v>368</v>
      </c>
      <c r="AA55" s="139" t="s">
        <v>2249</v>
      </c>
      <c r="AB55" s="139" t="s">
        <v>2250</v>
      </c>
    </row>
    <row r="56" spans="1:28">
      <c r="A56" s="149"/>
      <c r="B56" s="144" t="str">
        <f t="shared" si="9"/>
        <v/>
      </c>
      <c r="C56" s="149"/>
      <c r="D56" s="144" t="str">
        <f t="shared" si="8"/>
        <v/>
      </c>
      <c r="E56" s="183"/>
      <c r="F56" s="144" t="str">
        <f t="shared" si="5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0"/>
        <v/>
      </c>
      <c r="Q56" s="139" t="str">
        <f t="shared" si="1"/>
        <v/>
      </c>
      <c r="U56" s="139">
        <v>3682</v>
      </c>
      <c r="V56" s="139" t="s">
        <v>30</v>
      </c>
      <c r="X56" s="139" t="str">
        <f t="shared" si="2"/>
        <v>36</v>
      </c>
      <c r="Y56" s="139" t="str">
        <f t="shared" si="6"/>
        <v>368</v>
      </c>
      <c r="AA56" s="139" t="s">
        <v>2251</v>
      </c>
      <c r="AB56" s="139" t="s">
        <v>2252</v>
      </c>
    </row>
    <row r="57" spans="1:28">
      <c r="A57" s="149"/>
      <c r="B57" s="144" t="str">
        <f t="shared" si="9"/>
        <v/>
      </c>
      <c r="C57" s="149"/>
      <c r="D57" s="144" t="str">
        <f t="shared" si="8"/>
        <v/>
      </c>
      <c r="E57" s="183"/>
      <c r="F57" s="144" t="str">
        <f t="shared" si="5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0"/>
        <v/>
      </c>
      <c r="Q57" s="139" t="str">
        <f t="shared" si="1"/>
        <v/>
      </c>
      <c r="U57" s="139">
        <v>3691</v>
      </c>
      <c r="V57" s="139" t="s">
        <v>108</v>
      </c>
      <c r="X57" s="139" t="str">
        <f t="shared" si="2"/>
        <v>36</v>
      </c>
      <c r="Y57" s="139" t="str">
        <f t="shared" si="6"/>
        <v>369</v>
      </c>
      <c r="AA57" s="139" t="s">
        <v>2253</v>
      </c>
      <c r="AB57" s="139" t="s">
        <v>2254</v>
      </c>
    </row>
    <row r="58" spans="1:28">
      <c r="A58" s="149"/>
      <c r="B58" s="144" t="str">
        <f t="shared" si="9"/>
        <v/>
      </c>
      <c r="C58" s="149"/>
      <c r="D58" s="144" t="str">
        <f t="shared" si="8"/>
        <v/>
      </c>
      <c r="E58" s="183"/>
      <c r="F58" s="144" t="str">
        <f t="shared" si="5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0"/>
        <v/>
      </c>
      <c r="Q58" s="139" t="str">
        <f t="shared" si="1"/>
        <v/>
      </c>
      <c r="U58" s="139">
        <v>3692</v>
      </c>
      <c r="V58" s="139" t="s">
        <v>180</v>
      </c>
      <c r="X58" s="139" t="str">
        <f t="shared" si="2"/>
        <v>36</v>
      </c>
      <c r="Y58" s="139" t="str">
        <f t="shared" si="6"/>
        <v>369</v>
      </c>
      <c r="AA58" s="139" t="s">
        <v>2255</v>
      </c>
      <c r="AB58" s="139" t="s">
        <v>2256</v>
      </c>
    </row>
    <row r="59" spans="1:28">
      <c r="A59" s="149"/>
      <c r="B59" s="144" t="str">
        <f t="shared" si="9"/>
        <v/>
      </c>
      <c r="C59" s="149"/>
      <c r="D59" s="144" t="str">
        <f t="shared" si="8"/>
        <v/>
      </c>
      <c r="E59" s="183"/>
      <c r="F59" s="144" t="str">
        <f t="shared" si="5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0"/>
        <v/>
      </c>
      <c r="Q59" s="139" t="str">
        <f t="shared" si="1"/>
        <v/>
      </c>
      <c r="U59" s="139">
        <v>3693</v>
      </c>
      <c r="V59" s="139" t="s">
        <v>108</v>
      </c>
      <c r="X59" s="139" t="str">
        <f t="shared" si="2"/>
        <v>36</v>
      </c>
      <c r="Y59" s="139" t="str">
        <f t="shared" si="6"/>
        <v>369</v>
      </c>
      <c r="AA59" s="139" t="s">
        <v>2257</v>
      </c>
      <c r="AB59" s="139" t="s">
        <v>2258</v>
      </c>
    </row>
    <row r="60" spans="1:28">
      <c r="A60" s="149"/>
      <c r="B60" s="144" t="str">
        <f t="shared" si="9"/>
        <v/>
      </c>
      <c r="C60" s="149"/>
      <c r="D60" s="144" t="str">
        <f t="shared" si="8"/>
        <v/>
      </c>
      <c r="E60" s="183"/>
      <c r="F60" s="144" t="str">
        <f t="shared" si="5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0"/>
        <v/>
      </c>
      <c r="Q60" s="139" t="str">
        <f t="shared" si="1"/>
        <v/>
      </c>
      <c r="U60" s="139">
        <v>3694</v>
      </c>
      <c r="V60" s="139" t="s">
        <v>180</v>
      </c>
      <c r="X60" s="139" t="str">
        <f t="shared" si="2"/>
        <v>36</v>
      </c>
      <c r="Y60" s="139" t="str">
        <f t="shared" si="6"/>
        <v>369</v>
      </c>
      <c r="AA60" s="139" t="s">
        <v>2259</v>
      </c>
      <c r="AB60" s="139" t="s">
        <v>2260</v>
      </c>
    </row>
    <row r="61" spans="1:28">
      <c r="A61" s="149"/>
      <c r="B61" s="144" t="str">
        <f t="shared" si="9"/>
        <v/>
      </c>
      <c r="C61" s="149"/>
      <c r="D61" s="144" t="str">
        <f t="shared" si="8"/>
        <v/>
      </c>
      <c r="E61" s="183"/>
      <c r="F61" s="144" t="str">
        <f t="shared" si="5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0"/>
        <v/>
      </c>
      <c r="Q61" s="139" t="str">
        <f t="shared" si="1"/>
        <v/>
      </c>
      <c r="U61" s="139">
        <v>3711</v>
      </c>
      <c r="V61" s="139" t="s">
        <v>127</v>
      </c>
      <c r="X61" s="139" t="str">
        <f t="shared" si="2"/>
        <v>37</v>
      </c>
      <c r="Y61" s="139" t="str">
        <f t="shared" si="6"/>
        <v>371</v>
      </c>
      <c r="AA61" s="139" t="s">
        <v>2261</v>
      </c>
      <c r="AB61" s="139" t="s">
        <v>2262</v>
      </c>
    </row>
    <row r="62" spans="1:28">
      <c r="A62" s="149"/>
      <c r="B62" s="144" t="str">
        <f t="shared" si="9"/>
        <v/>
      </c>
      <c r="C62" s="149"/>
      <c r="D62" s="144" t="str">
        <f t="shared" si="8"/>
        <v/>
      </c>
      <c r="E62" s="183"/>
      <c r="F62" s="144" t="str">
        <f t="shared" si="5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0"/>
        <v/>
      </c>
      <c r="Q62" s="139" t="str">
        <f t="shared" si="1"/>
        <v/>
      </c>
      <c r="U62" s="139">
        <v>3712</v>
      </c>
      <c r="V62" s="139" t="s">
        <v>145</v>
      </c>
      <c r="X62" s="139" t="str">
        <f t="shared" si="2"/>
        <v>37</v>
      </c>
      <c r="Y62" s="139" t="str">
        <f t="shared" si="6"/>
        <v>371</v>
      </c>
      <c r="AA62" s="139" t="s">
        <v>2263</v>
      </c>
      <c r="AB62" s="139" t="s">
        <v>2264</v>
      </c>
    </row>
    <row r="63" spans="1:28">
      <c r="A63" s="149"/>
      <c r="B63" s="144" t="str">
        <f t="shared" si="9"/>
        <v/>
      </c>
      <c r="C63" s="149"/>
      <c r="D63" s="144" t="str">
        <f t="shared" si="8"/>
        <v/>
      </c>
      <c r="E63" s="183"/>
      <c r="F63" s="144" t="str">
        <f t="shared" si="5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0"/>
        <v/>
      </c>
      <c r="Q63" s="139" t="str">
        <f t="shared" si="1"/>
        <v/>
      </c>
      <c r="U63" s="139">
        <v>3713</v>
      </c>
      <c r="V63" s="139" t="s">
        <v>172</v>
      </c>
      <c r="X63" s="139" t="str">
        <f t="shared" si="2"/>
        <v>37</v>
      </c>
      <c r="Y63" s="139" t="str">
        <f t="shared" si="6"/>
        <v>371</v>
      </c>
      <c r="AA63" s="139" t="s">
        <v>2265</v>
      </c>
      <c r="AB63" s="139" t="s">
        <v>2266</v>
      </c>
    </row>
    <row r="64" spans="1:28">
      <c r="A64" s="149"/>
      <c r="B64" s="144" t="str">
        <f t="shared" si="9"/>
        <v/>
      </c>
      <c r="C64" s="149"/>
      <c r="D64" s="144" t="str">
        <f t="shared" si="8"/>
        <v/>
      </c>
      <c r="E64" s="183"/>
      <c r="F64" s="144" t="str">
        <f t="shared" si="5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0"/>
        <v/>
      </c>
      <c r="Q64" s="139" t="str">
        <f t="shared" si="1"/>
        <v/>
      </c>
      <c r="U64" s="139">
        <v>3714</v>
      </c>
      <c r="V64" s="139" t="s">
        <v>193</v>
      </c>
      <c r="X64" s="139" t="str">
        <f t="shared" si="2"/>
        <v>37</v>
      </c>
      <c r="Y64" s="139" t="str">
        <f t="shared" si="6"/>
        <v>371</v>
      </c>
      <c r="AA64" s="139" t="s">
        <v>2267</v>
      </c>
      <c r="AB64" s="139" t="s">
        <v>2268</v>
      </c>
    </row>
    <row r="65" spans="1:28">
      <c r="A65" s="149"/>
      <c r="B65" s="144" t="str">
        <f t="shared" si="9"/>
        <v/>
      </c>
      <c r="C65" s="149"/>
      <c r="D65" s="144" t="str">
        <f t="shared" si="8"/>
        <v/>
      </c>
      <c r="E65" s="183"/>
      <c r="F65" s="144" t="str">
        <f t="shared" si="5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ref="P65:P128" si="10">LEFT(C65,3)</f>
        <v/>
      </c>
      <c r="Q65" s="139" t="str">
        <f t="shared" ref="Q65:Q128" si="11">LEFT(C65,2)</f>
        <v/>
      </c>
      <c r="U65" s="139">
        <v>3715</v>
      </c>
      <c r="V65" s="139" t="s">
        <v>131</v>
      </c>
      <c r="X65" s="139" t="str">
        <f t="shared" si="2"/>
        <v>37</v>
      </c>
      <c r="Y65" s="139" t="str">
        <f t="shared" si="6"/>
        <v>371</v>
      </c>
      <c r="AA65" s="139" t="s">
        <v>2269</v>
      </c>
      <c r="AB65" s="139" t="s">
        <v>2270</v>
      </c>
    </row>
    <row r="66" spans="1:28">
      <c r="A66" s="149"/>
      <c r="B66" s="144" t="str">
        <f t="shared" si="9"/>
        <v/>
      </c>
      <c r="C66" s="149"/>
      <c r="D66" s="144" t="str">
        <f t="shared" si="8"/>
        <v/>
      </c>
      <c r="E66" s="183"/>
      <c r="F66" s="144" t="str">
        <f t="shared" si="5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10"/>
        <v/>
      </c>
      <c r="Q66" s="139" t="str">
        <f t="shared" si="11"/>
        <v/>
      </c>
      <c r="U66" s="139">
        <v>3721</v>
      </c>
      <c r="V66" s="139" t="s">
        <v>69</v>
      </c>
      <c r="X66" s="139" t="str">
        <f t="shared" ref="X66:X126" si="12">LEFT(U66,2)</f>
        <v>37</v>
      </c>
      <c r="Y66" s="139" t="str">
        <f t="shared" si="6"/>
        <v>372</v>
      </c>
      <c r="AA66" s="139" t="s">
        <v>2271</v>
      </c>
      <c r="AB66" s="139" t="s">
        <v>2272</v>
      </c>
    </row>
    <row r="67" spans="1:28">
      <c r="A67" s="149"/>
      <c r="B67" s="144" t="str">
        <f t="shared" si="9"/>
        <v/>
      </c>
      <c r="C67" s="149"/>
      <c r="D67" s="144" t="str">
        <f t="shared" si="8"/>
        <v/>
      </c>
      <c r="E67" s="183"/>
      <c r="F67" s="144" t="str">
        <f t="shared" si="5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10"/>
        <v/>
      </c>
      <c r="Q67" s="139" t="str">
        <f t="shared" si="11"/>
        <v/>
      </c>
      <c r="U67" s="139">
        <v>3722</v>
      </c>
      <c r="V67" s="139" t="s">
        <v>154</v>
      </c>
      <c r="X67" s="139" t="str">
        <f t="shared" si="12"/>
        <v>37</v>
      </c>
      <c r="Y67" s="139" t="str">
        <f t="shared" ref="Y67:Y126" si="13">LEFT(U67,3)</f>
        <v>372</v>
      </c>
      <c r="AA67" s="139" t="s">
        <v>2273</v>
      </c>
      <c r="AB67" s="139" t="s">
        <v>2274</v>
      </c>
    </row>
    <row r="68" spans="1:28">
      <c r="A68" s="149"/>
      <c r="B68" s="144" t="str">
        <f t="shared" si="9"/>
        <v/>
      </c>
      <c r="C68" s="149"/>
      <c r="D68" s="144" t="str">
        <f t="shared" si="8"/>
        <v/>
      </c>
      <c r="E68" s="183"/>
      <c r="F68" s="144" t="str">
        <f t="shared" si="5"/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si="10"/>
        <v/>
      </c>
      <c r="Q68" s="139" t="str">
        <f t="shared" si="11"/>
        <v/>
      </c>
      <c r="U68" s="139">
        <v>3723</v>
      </c>
      <c r="V68" s="139" t="s">
        <v>109</v>
      </c>
      <c r="X68" s="139" t="str">
        <f t="shared" si="12"/>
        <v>37</v>
      </c>
      <c r="Y68" s="139" t="str">
        <f t="shared" si="13"/>
        <v>372</v>
      </c>
      <c r="AA68" s="139" t="s">
        <v>2275</v>
      </c>
      <c r="AB68" s="139" t="s">
        <v>2276</v>
      </c>
    </row>
    <row r="69" spans="1:28">
      <c r="A69" s="149"/>
      <c r="B69" s="144" t="str">
        <f t="shared" si="9"/>
        <v/>
      </c>
      <c r="C69" s="149"/>
      <c r="D69" s="144" t="str">
        <f t="shared" si="8"/>
        <v/>
      </c>
      <c r="E69" s="183"/>
      <c r="F69" s="144" t="str">
        <f t="shared" si="5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0"/>
        <v/>
      </c>
      <c r="Q69" s="139" t="str">
        <f t="shared" si="11"/>
        <v/>
      </c>
      <c r="U69" s="139">
        <v>3811</v>
      </c>
      <c r="V69" s="139" t="s">
        <v>59</v>
      </c>
      <c r="X69" s="139" t="str">
        <f t="shared" si="12"/>
        <v>38</v>
      </c>
      <c r="Y69" s="139" t="str">
        <f t="shared" si="13"/>
        <v>381</v>
      </c>
      <c r="AA69" s="139" t="s">
        <v>2277</v>
      </c>
      <c r="AB69" s="139" t="s">
        <v>2278</v>
      </c>
    </row>
    <row r="70" spans="1:28">
      <c r="A70" s="149"/>
      <c r="B70" s="144" t="str">
        <f t="shared" si="9"/>
        <v/>
      </c>
      <c r="C70" s="149"/>
      <c r="D70" s="144" t="str">
        <f t="shared" si="8"/>
        <v/>
      </c>
      <c r="E70" s="183"/>
      <c r="F70" s="144" t="str">
        <f t="shared" si="5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0"/>
        <v/>
      </c>
      <c r="Q70" s="139" t="str">
        <f t="shared" si="11"/>
        <v/>
      </c>
      <c r="U70" s="139">
        <v>3812</v>
      </c>
      <c r="V70" s="139" t="s">
        <v>155</v>
      </c>
      <c r="X70" s="139" t="str">
        <f t="shared" si="12"/>
        <v>38</v>
      </c>
      <c r="Y70" s="139" t="str">
        <f t="shared" si="13"/>
        <v>381</v>
      </c>
      <c r="AA70" s="139" t="s">
        <v>2279</v>
      </c>
      <c r="AB70" s="139" t="s">
        <v>2280</v>
      </c>
    </row>
    <row r="71" spans="1:28">
      <c r="A71" s="149"/>
      <c r="B71" s="144" t="str">
        <f t="shared" si="9"/>
        <v/>
      </c>
      <c r="C71" s="149"/>
      <c r="D71" s="144" t="str">
        <f t="shared" si="8"/>
        <v/>
      </c>
      <c r="E71" s="183"/>
      <c r="F71" s="144" t="str">
        <f t="shared" si="5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0"/>
        <v/>
      </c>
      <c r="Q71" s="139" t="str">
        <f t="shared" si="11"/>
        <v/>
      </c>
      <c r="U71" s="139">
        <v>3813</v>
      </c>
      <c r="V71" s="139" t="s">
        <v>98</v>
      </c>
      <c r="X71" s="139" t="str">
        <f t="shared" si="12"/>
        <v>38</v>
      </c>
      <c r="Y71" s="139" t="str">
        <f t="shared" si="13"/>
        <v>381</v>
      </c>
      <c r="AA71" s="139" t="s">
        <v>2281</v>
      </c>
      <c r="AB71" s="139" t="s">
        <v>2282</v>
      </c>
    </row>
    <row r="72" spans="1:28">
      <c r="A72" s="149"/>
      <c r="B72" s="144" t="str">
        <f t="shared" si="9"/>
        <v/>
      </c>
      <c r="C72" s="149"/>
      <c r="D72" s="144" t="str">
        <f t="shared" si="8"/>
        <v/>
      </c>
      <c r="E72" s="183"/>
      <c r="F72" s="144" t="str">
        <f t="shared" ref="F72:F135" si="14">IFERROR(VLOOKUP(E72,$AA$8:$AB$1015,2,FALSE),"")</f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0"/>
        <v/>
      </c>
      <c r="Q72" s="139" t="str">
        <f t="shared" si="11"/>
        <v/>
      </c>
      <c r="U72" s="139">
        <v>3821</v>
      </c>
      <c r="V72" s="139" t="s">
        <v>173</v>
      </c>
      <c r="X72" s="139" t="str">
        <f t="shared" si="12"/>
        <v>38</v>
      </c>
      <c r="Y72" s="139" t="str">
        <f t="shared" si="13"/>
        <v>382</v>
      </c>
      <c r="AA72" s="139" t="s">
        <v>2283</v>
      </c>
      <c r="AB72" s="139" t="s">
        <v>2284</v>
      </c>
    </row>
    <row r="73" spans="1:28">
      <c r="A73" s="149"/>
      <c r="B73" s="144" t="str">
        <f t="shared" si="9"/>
        <v/>
      </c>
      <c r="C73" s="149"/>
      <c r="D73" s="144" t="str">
        <f t="shared" si="8"/>
        <v/>
      </c>
      <c r="E73" s="183"/>
      <c r="F73" s="144" t="str">
        <f t="shared" si="14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0"/>
        <v/>
      </c>
      <c r="Q73" s="139" t="str">
        <f t="shared" si="11"/>
        <v/>
      </c>
      <c r="U73" s="139">
        <v>3831</v>
      </c>
      <c r="V73" s="139" t="s">
        <v>156</v>
      </c>
      <c r="X73" s="139" t="str">
        <f t="shared" si="12"/>
        <v>38</v>
      </c>
      <c r="Y73" s="139" t="str">
        <f t="shared" si="13"/>
        <v>383</v>
      </c>
      <c r="AA73" s="139" t="s">
        <v>2285</v>
      </c>
      <c r="AB73" s="139" t="s">
        <v>2286</v>
      </c>
    </row>
    <row r="74" spans="1:28">
      <c r="A74" s="149"/>
      <c r="B74" s="144" t="str">
        <f t="shared" si="9"/>
        <v/>
      </c>
      <c r="C74" s="149"/>
      <c r="D74" s="144" t="str">
        <f t="shared" si="8"/>
        <v/>
      </c>
      <c r="E74" s="183"/>
      <c r="F74" s="144" t="str">
        <f t="shared" si="14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0"/>
        <v/>
      </c>
      <c r="Q74" s="139" t="str">
        <f t="shared" si="11"/>
        <v/>
      </c>
      <c r="U74" s="139">
        <v>3832</v>
      </c>
      <c r="V74" s="139" t="s">
        <v>196</v>
      </c>
      <c r="X74" s="139" t="str">
        <f t="shared" si="12"/>
        <v>38</v>
      </c>
      <c r="Y74" s="139" t="str">
        <f t="shared" si="13"/>
        <v>383</v>
      </c>
      <c r="AA74" s="139" t="s">
        <v>2287</v>
      </c>
      <c r="AB74" s="139" t="s">
        <v>2288</v>
      </c>
    </row>
    <row r="75" spans="1:28">
      <c r="A75" s="149"/>
      <c r="B75" s="144" t="str">
        <f t="shared" si="9"/>
        <v/>
      </c>
      <c r="C75" s="149"/>
      <c r="D75" s="144" t="str">
        <f t="shared" si="8"/>
        <v/>
      </c>
      <c r="E75" s="183"/>
      <c r="F75" s="144" t="str">
        <f t="shared" si="14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0"/>
        <v/>
      </c>
      <c r="Q75" s="139" t="str">
        <f t="shared" si="11"/>
        <v/>
      </c>
      <c r="U75" s="139">
        <v>3833</v>
      </c>
      <c r="V75" s="139" t="s">
        <v>157</v>
      </c>
      <c r="X75" s="139" t="str">
        <f t="shared" si="12"/>
        <v>38</v>
      </c>
      <c r="Y75" s="139" t="str">
        <f t="shared" si="13"/>
        <v>383</v>
      </c>
      <c r="AA75" s="139" t="s">
        <v>2289</v>
      </c>
      <c r="AB75" s="139" t="s">
        <v>2290</v>
      </c>
    </row>
    <row r="76" spans="1:28">
      <c r="A76" s="149"/>
      <c r="B76" s="144" t="str">
        <f t="shared" si="9"/>
        <v/>
      </c>
      <c r="C76" s="149"/>
      <c r="D76" s="144" t="str">
        <f t="shared" si="8"/>
        <v/>
      </c>
      <c r="E76" s="183"/>
      <c r="F76" s="144" t="str">
        <f t="shared" si="14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0"/>
        <v/>
      </c>
      <c r="Q76" s="139" t="str">
        <f t="shared" si="11"/>
        <v/>
      </c>
      <c r="U76" s="139">
        <v>3834</v>
      </c>
      <c r="V76" s="139" t="s">
        <v>158</v>
      </c>
      <c r="X76" s="139" t="str">
        <f t="shared" si="12"/>
        <v>38</v>
      </c>
      <c r="Y76" s="139" t="str">
        <f t="shared" si="13"/>
        <v>383</v>
      </c>
      <c r="AA76" s="139" t="s">
        <v>2291</v>
      </c>
      <c r="AB76" s="139" t="s">
        <v>2292</v>
      </c>
    </row>
    <row r="77" spans="1:28">
      <c r="A77" s="149"/>
      <c r="B77" s="144" t="str">
        <f t="shared" si="9"/>
        <v/>
      </c>
      <c r="C77" s="149"/>
      <c r="D77" s="144" t="str">
        <f t="shared" si="8"/>
        <v/>
      </c>
      <c r="E77" s="183"/>
      <c r="F77" s="144" t="str">
        <f t="shared" si="14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0"/>
        <v/>
      </c>
      <c r="Q77" s="139" t="str">
        <f t="shared" si="11"/>
        <v/>
      </c>
      <c r="U77" s="139">
        <v>3835</v>
      </c>
      <c r="V77" s="139" t="s">
        <v>159</v>
      </c>
      <c r="X77" s="139" t="str">
        <f t="shared" si="12"/>
        <v>38</v>
      </c>
      <c r="Y77" s="139" t="str">
        <f t="shared" si="13"/>
        <v>383</v>
      </c>
      <c r="AA77" s="139" t="s">
        <v>2293</v>
      </c>
      <c r="AB77" s="139" t="s">
        <v>2294</v>
      </c>
    </row>
    <row r="78" spans="1:28">
      <c r="A78" s="149"/>
      <c r="B78" s="144" t="str">
        <f t="shared" si="9"/>
        <v/>
      </c>
      <c r="C78" s="149"/>
      <c r="D78" s="144" t="str">
        <f t="shared" si="8"/>
        <v/>
      </c>
      <c r="E78" s="183"/>
      <c r="F78" s="144" t="str">
        <f t="shared" si="14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0"/>
        <v/>
      </c>
      <c r="Q78" s="139" t="str">
        <f t="shared" si="11"/>
        <v/>
      </c>
      <c r="U78" s="194">
        <v>3861</v>
      </c>
      <c r="V78" s="195" t="s">
        <v>762</v>
      </c>
      <c r="W78" s="194"/>
      <c r="X78" s="194" t="str">
        <f t="shared" si="12"/>
        <v>38</v>
      </c>
      <c r="Y78" s="194" t="str">
        <f t="shared" si="13"/>
        <v>386</v>
      </c>
      <c r="AA78" s="139" t="s">
        <v>2295</v>
      </c>
      <c r="AB78" s="139" t="s">
        <v>2296</v>
      </c>
    </row>
    <row r="79" spans="1:28">
      <c r="A79" s="149"/>
      <c r="B79" s="144" t="str">
        <f t="shared" si="9"/>
        <v/>
      </c>
      <c r="C79" s="149"/>
      <c r="D79" s="144" t="str">
        <f t="shared" si="8"/>
        <v/>
      </c>
      <c r="E79" s="183"/>
      <c r="F79" s="144" t="str">
        <f t="shared" si="14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0"/>
        <v/>
      </c>
      <c r="Q79" s="139" t="str">
        <f t="shared" si="11"/>
        <v/>
      </c>
      <c r="U79" s="193">
        <v>3862</v>
      </c>
      <c r="V79" s="139" t="s">
        <v>763</v>
      </c>
      <c r="X79" s="139" t="str">
        <f t="shared" si="12"/>
        <v>38</v>
      </c>
      <c r="Y79" s="139" t="str">
        <f t="shared" si="13"/>
        <v>386</v>
      </c>
      <c r="AA79" s="139" t="s">
        <v>2297</v>
      </c>
      <c r="AB79" s="139" t="s">
        <v>2298</v>
      </c>
    </row>
    <row r="80" spans="1:28">
      <c r="A80" s="149"/>
      <c r="B80" s="144" t="str">
        <f t="shared" si="9"/>
        <v/>
      </c>
      <c r="C80" s="149"/>
      <c r="D80" s="144" t="str">
        <f t="shared" si="8"/>
        <v/>
      </c>
      <c r="E80" s="183"/>
      <c r="F80" s="144" t="str">
        <f t="shared" si="14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0"/>
        <v/>
      </c>
      <c r="Q80" s="139" t="str">
        <f t="shared" si="11"/>
        <v/>
      </c>
      <c r="U80" s="193">
        <v>3863</v>
      </c>
      <c r="V80" s="139" t="s">
        <v>764</v>
      </c>
      <c r="X80" s="139" t="str">
        <f t="shared" si="12"/>
        <v>38</v>
      </c>
      <c r="Y80" s="139" t="str">
        <f t="shared" si="13"/>
        <v>386</v>
      </c>
      <c r="AA80" s="139" t="s">
        <v>2299</v>
      </c>
      <c r="AB80" s="139" t="s">
        <v>2300</v>
      </c>
    </row>
    <row r="81" spans="1:28">
      <c r="A81" s="149"/>
      <c r="B81" s="144" t="str">
        <f t="shared" si="9"/>
        <v/>
      </c>
      <c r="C81" s="149"/>
      <c r="D81" s="144" t="str">
        <f t="shared" si="8"/>
        <v/>
      </c>
      <c r="E81" s="183"/>
      <c r="F81" s="144" t="str">
        <f t="shared" si="14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0"/>
        <v/>
      </c>
      <c r="Q81" s="139" t="str">
        <f t="shared" si="11"/>
        <v/>
      </c>
      <c r="U81" s="139">
        <v>4111</v>
      </c>
      <c r="V81" s="139" t="s">
        <v>160</v>
      </c>
      <c r="X81" s="139" t="str">
        <f t="shared" si="12"/>
        <v>41</v>
      </c>
      <c r="Y81" s="139" t="str">
        <f t="shared" si="13"/>
        <v>411</v>
      </c>
      <c r="AA81" s="139" t="s">
        <v>2301</v>
      </c>
      <c r="AB81" s="139" t="s">
        <v>2302</v>
      </c>
    </row>
    <row r="82" spans="1:28">
      <c r="A82" s="149"/>
      <c r="B82" s="144" t="str">
        <f t="shared" si="9"/>
        <v/>
      </c>
      <c r="C82" s="149"/>
      <c r="D82" s="144" t="str">
        <f t="shared" si="8"/>
        <v/>
      </c>
      <c r="E82" s="183"/>
      <c r="F82" s="144" t="str">
        <f t="shared" si="14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0"/>
        <v/>
      </c>
      <c r="Q82" s="139" t="str">
        <f t="shared" si="11"/>
        <v/>
      </c>
      <c r="U82" s="139">
        <v>4113</v>
      </c>
      <c r="V82" s="139" t="s">
        <v>194</v>
      </c>
      <c r="X82" s="139" t="str">
        <f t="shared" si="12"/>
        <v>41</v>
      </c>
      <c r="Y82" s="139" t="str">
        <f t="shared" si="13"/>
        <v>411</v>
      </c>
      <c r="AA82" s="139" t="s">
        <v>2303</v>
      </c>
      <c r="AB82" s="139" t="s">
        <v>2304</v>
      </c>
    </row>
    <row r="83" spans="1:28">
      <c r="A83" s="149"/>
      <c r="B83" s="144" t="str">
        <f t="shared" si="9"/>
        <v/>
      </c>
      <c r="C83" s="149"/>
      <c r="D83" s="144" t="str">
        <f t="shared" si="8"/>
        <v/>
      </c>
      <c r="E83" s="183"/>
      <c r="F83" s="144" t="str">
        <f t="shared" si="14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0"/>
        <v/>
      </c>
      <c r="Q83" s="139" t="str">
        <f t="shared" si="11"/>
        <v/>
      </c>
      <c r="U83" s="139">
        <v>4122</v>
      </c>
      <c r="V83" s="139" t="s">
        <v>161</v>
      </c>
      <c r="X83" s="139" t="str">
        <f t="shared" si="12"/>
        <v>41</v>
      </c>
      <c r="Y83" s="139" t="str">
        <f t="shared" si="13"/>
        <v>412</v>
      </c>
      <c r="AA83" s="139" t="s">
        <v>2305</v>
      </c>
      <c r="AB83" s="139" t="s">
        <v>2306</v>
      </c>
    </row>
    <row r="84" spans="1:28">
      <c r="A84" s="149"/>
      <c r="B84" s="144" t="str">
        <f t="shared" si="9"/>
        <v/>
      </c>
      <c r="C84" s="149"/>
      <c r="D84" s="144" t="str">
        <f t="shared" si="8"/>
        <v/>
      </c>
      <c r="E84" s="183"/>
      <c r="F84" s="144" t="str">
        <f t="shared" si="14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0"/>
        <v/>
      </c>
      <c r="Q84" s="139" t="str">
        <f t="shared" si="11"/>
        <v/>
      </c>
      <c r="U84" s="139">
        <v>4123</v>
      </c>
      <c r="V84" s="139" t="s">
        <v>132</v>
      </c>
      <c r="X84" s="139" t="str">
        <f t="shared" si="12"/>
        <v>41</v>
      </c>
      <c r="Y84" s="139" t="str">
        <f t="shared" si="13"/>
        <v>412</v>
      </c>
      <c r="AA84" s="139" t="s">
        <v>814</v>
      </c>
      <c r="AB84" s="139" t="s">
        <v>815</v>
      </c>
    </row>
    <row r="85" spans="1:28">
      <c r="A85" s="149"/>
      <c r="B85" s="144" t="str">
        <f t="shared" si="9"/>
        <v/>
      </c>
      <c r="C85" s="149"/>
      <c r="D85" s="144" t="str">
        <f t="shared" si="8"/>
        <v/>
      </c>
      <c r="E85" s="183"/>
      <c r="F85" s="144" t="str">
        <f t="shared" si="14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0"/>
        <v/>
      </c>
      <c r="Q85" s="139" t="str">
        <f t="shared" si="11"/>
        <v/>
      </c>
      <c r="U85" s="139">
        <v>4124</v>
      </c>
      <c r="V85" s="139" t="s">
        <v>118</v>
      </c>
      <c r="X85" s="139" t="str">
        <f t="shared" si="12"/>
        <v>41</v>
      </c>
      <c r="Y85" s="139" t="str">
        <f t="shared" si="13"/>
        <v>412</v>
      </c>
      <c r="AA85" s="139" t="s">
        <v>816</v>
      </c>
      <c r="AB85" s="139" t="s">
        <v>817</v>
      </c>
    </row>
    <row r="86" spans="1:28">
      <c r="A86" s="149"/>
      <c r="B86" s="144" t="str">
        <f t="shared" si="9"/>
        <v/>
      </c>
      <c r="C86" s="149"/>
      <c r="D86" s="144" t="str">
        <f t="shared" si="8"/>
        <v/>
      </c>
      <c r="E86" s="183"/>
      <c r="F86" s="144" t="str">
        <f t="shared" si="14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0"/>
        <v/>
      </c>
      <c r="Q86" s="139" t="str">
        <f t="shared" si="11"/>
        <v/>
      </c>
      <c r="U86" s="139">
        <v>4126</v>
      </c>
      <c r="V86" s="139" t="s">
        <v>162</v>
      </c>
      <c r="X86" s="139" t="str">
        <f t="shared" si="12"/>
        <v>41</v>
      </c>
      <c r="Y86" s="139" t="str">
        <f t="shared" si="13"/>
        <v>412</v>
      </c>
      <c r="AA86" s="139" t="s">
        <v>818</v>
      </c>
      <c r="AB86" s="139" t="s">
        <v>819</v>
      </c>
    </row>
    <row r="87" spans="1:28">
      <c r="A87" s="149"/>
      <c r="B87" s="144" t="str">
        <f t="shared" si="9"/>
        <v/>
      </c>
      <c r="C87" s="149"/>
      <c r="D87" s="144" t="str">
        <f t="shared" si="8"/>
        <v/>
      </c>
      <c r="E87" s="183"/>
      <c r="F87" s="144" t="str">
        <f t="shared" si="14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0"/>
        <v/>
      </c>
      <c r="Q87" s="139" t="str">
        <f t="shared" si="11"/>
        <v/>
      </c>
      <c r="U87" s="139">
        <v>4211</v>
      </c>
      <c r="V87" s="139" t="s">
        <v>176</v>
      </c>
      <c r="X87" s="139" t="str">
        <f t="shared" si="12"/>
        <v>42</v>
      </c>
      <c r="Y87" s="139" t="str">
        <f t="shared" si="13"/>
        <v>421</v>
      </c>
      <c r="AA87" s="139" t="s">
        <v>820</v>
      </c>
      <c r="AB87" s="139" t="s">
        <v>821</v>
      </c>
    </row>
    <row r="88" spans="1:28">
      <c r="A88" s="149"/>
      <c r="B88" s="144" t="str">
        <f t="shared" si="9"/>
        <v/>
      </c>
      <c r="C88" s="149"/>
      <c r="D88" s="144" t="str">
        <f t="shared" si="8"/>
        <v/>
      </c>
      <c r="E88" s="183"/>
      <c r="F88" s="144" t="str">
        <f t="shared" si="14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0"/>
        <v/>
      </c>
      <c r="Q88" s="139" t="str">
        <f t="shared" si="11"/>
        <v/>
      </c>
      <c r="U88" s="139">
        <v>4212</v>
      </c>
      <c r="V88" s="139" t="s">
        <v>64</v>
      </c>
      <c r="X88" s="139" t="str">
        <f t="shared" si="12"/>
        <v>42</v>
      </c>
      <c r="Y88" s="139" t="str">
        <f t="shared" si="13"/>
        <v>421</v>
      </c>
      <c r="AA88" s="139" t="s">
        <v>822</v>
      </c>
      <c r="AB88" s="139" t="s">
        <v>823</v>
      </c>
    </row>
    <row r="89" spans="1:28">
      <c r="A89" s="149"/>
      <c r="B89" s="144" t="str">
        <f t="shared" si="9"/>
        <v/>
      </c>
      <c r="C89" s="149"/>
      <c r="D89" s="144" t="str">
        <f t="shared" si="8"/>
        <v/>
      </c>
      <c r="E89" s="183"/>
      <c r="F89" s="144" t="str">
        <f t="shared" si="14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0"/>
        <v/>
      </c>
      <c r="Q89" s="139" t="str">
        <f t="shared" si="11"/>
        <v/>
      </c>
      <c r="U89" s="139">
        <v>4213</v>
      </c>
      <c r="V89" s="139" t="s">
        <v>163</v>
      </c>
      <c r="X89" s="139" t="str">
        <f t="shared" si="12"/>
        <v>42</v>
      </c>
      <c r="Y89" s="139" t="str">
        <f t="shared" si="13"/>
        <v>421</v>
      </c>
      <c r="AA89" s="139" t="s">
        <v>824</v>
      </c>
      <c r="AB89" s="139" t="s">
        <v>825</v>
      </c>
    </row>
    <row r="90" spans="1:28">
      <c r="A90" s="149"/>
      <c r="B90" s="144" t="str">
        <f t="shared" si="9"/>
        <v/>
      </c>
      <c r="C90" s="149"/>
      <c r="D90" s="144" t="str">
        <f t="shared" si="8"/>
        <v/>
      </c>
      <c r="E90" s="183"/>
      <c r="F90" s="144" t="str">
        <f t="shared" si="14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0"/>
        <v/>
      </c>
      <c r="Q90" s="139" t="str">
        <f t="shared" si="11"/>
        <v/>
      </c>
      <c r="U90" s="139">
        <v>4214</v>
      </c>
      <c r="V90" s="139" t="s">
        <v>164</v>
      </c>
      <c r="X90" s="139" t="str">
        <f t="shared" si="12"/>
        <v>42</v>
      </c>
      <c r="Y90" s="139" t="str">
        <f t="shared" si="13"/>
        <v>421</v>
      </c>
      <c r="AA90" s="139" t="s">
        <v>826</v>
      </c>
      <c r="AB90" s="139" t="s">
        <v>827</v>
      </c>
    </row>
    <row r="91" spans="1:28">
      <c r="A91" s="149"/>
      <c r="B91" s="144" t="str">
        <f t="shared" si="9"/>
        <v/>
      </c>
      <c r="C91" s="149"/>
      <c r="D91" s="144" t="str">
        <f t="shared" si="8"/>
        <v/>
      </c>
      <c r="E91" s="183"/>
      <c r="F91" s="144" t="str">
        <f t="shared" si="14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0"/>
        <v/>
      </c>
      <c r="Q91" s="139" t="str">
        <f t="shared" si="11"/>
        <v/>
      </c>
      <c r="U91" s="139">
        <v>4221</v>
      </c>
      <c r="V91" s="139" t="s">
        <v>99</v>
      </c>
      <c r="X91" s="139" t="str">
        <f t="shared" si="12"/>
        <v>42</v>
      </c>
      <c r="Y91" s="139" t="str">
        <f t="shared" si="13"/>
        <v>422</v>
      </c>
      <c r="AA91" s="139" t="s">
        <v>828</v>
      </c>
      <c r="AB91" s="139" t="s">
        <v>829</v>
      </c>
    </row>
    <row r="92" spans="1:28">
      <c r="A92" s="149"/>
      <c r="B92" s="144" t="str">
        <f t="shared" si="9"/>
        <v/>
      </c>
      <c r="C92" s="149"/>
      <c r="D92" s="144" t="str">
        <f t="shared" si="8"/>
        <v/>
      </c>
      <c r="E92" s="183"/>
      <c r="F92" s="144" t="str">
        <f t="shared" si="14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0"/>
        <v/>
      </c>
      <c r="Q92" s="139" t="str">
        <f t="shared" si="11"/>
        <v/>
      </c>
      <c r="U92" s="139">
        <v>4222</v>
      </c>
      <c r="V92" s="139" t="s">
        <v>110</v>
      </c>
      <c r="X92" s="139" t="str">
        <f t="shared" si="12"/>
        <v>42</v>
      </c>
      <c r="Y92" s="139" t="str">
        <f t="shared" si="13"/>
        <v>422</v>
      </c>
      <c r="AA92" s="139" t="s">
        <v>830</v>
      </c>
      <c r="AB92" s="139" t="s">
        <v>831</v>
      </c>
    </row>
    <row r="93" spans="1:28">
      <c r="A93" s="149"/>
      <c r="B93" s="144" t="str">
        <f t="shared" si="9"/>
        <v/>
      </c>
      <c r="C93" s="149"/>
      <c r="D93" s="144" t="str">
        <f t="shared" si="8"/>
        <v/>
      </c>
      <c r="E93" s="183"/>
      <c r="F93" s="144" t="str">
        <f t="shared" si="14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0"/>
        <v/>
      </c>
      <c r="Q93" s="139" t="str">
        <f t="shared" si="11"/>
        <v/>
      </c>
      <c r="U93" s="139">
        <v>4223</v>
      </c>
      <c r="V93" s="139" t="s">
        <v>123</v>
      </c>
      <c r="X93" s="139" t="str">
        <f t="shared" si="12"/>
        <v>42</v>
      </c>
      <c r="Y93" s="139" t="str">
        <f t="shared" si="13"/>
        <v>422</v>
      </c>
      <c r="AA93" s="139" t="s">
        <v>832</v>
      </c>
      <c r="AB93" s="139" t="s">
        <v>833</v>
      </c>
    </row>
    <row r="94" spans="1:28">
      <c r="A94" s="149"/>
      <c r="B94" s="144" t="str">
        <f t="shared" si="9"/>
        <v/>
      </c>
      <c r="C94" s="149"/>
      <c r="D94" s="144" t="str">
        <f t="shared" si="8"/>
        <v/>
      </c>
      <c r="E94" s="183"/>
      <c r="F94" s="144" t="str">
        <f t="shared" si="14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0"/>
        <v/>
      </c>
      <c r="Q94" s="139" t="str">
        <f t="shared" si="11"/>
        <v/>
      </c>
      <c r="U94" s="139">
        <v>4224</v>
      </c>
      <c r="V94" s="139" t="s">
        <v>116</v>
      </c>
      <c r="X94" s="139" t="str">
        <f t="shared" si="12"/>
        <v>42</v>
      </c>
      <c r="Y94" s="139" t="str">
        <f t="shared" si="13"/>
        <v>422</v>
      </c>
      <c r="AA94" s="139" t="s">
        <v>834</v>
      </c>
      <c r="AB94" s="139" t="s">
        <v>835</v>
      </c>
    </row>
    <row r="95" spans="1:28">
      <c r="A95" s="149"/>
      <c r="B95" s="144" t="str">
        <f t="shared" si="9"/>
        <v/>
      </c>
      <c r="C95" s="149"/>
      <c r="D95" s="144" t="str">
        <f t="shared" si="8"/>
        <v/>
      </c>
      <c r="E95" s="183"/>
      <c r="F95" s="144" t="str">
        <f t="shared" si="14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0"/>
        <v/>
      </c>
      <c r="Q95" s="139" t="str">
        <f t="shared" si="11"/>
        <v/>
      </c>
      <c r="U95" s="139">
        <v>4225</v>
      </c>
      <c r="V95" s="139" t="s">
        <v>120</v>
      </c>
      <c r="X95" s="139" t="str">
        <f t="shared" si="12"/>
        <v>42</v>
      </c>
      <c r="Y95" s="139" t="str">
        <f t="shared" si="13"/>
        <v>422</v>
      </c>
      <c r="AA95" s="139" t="s">
        <v>836</v>
      </c>
      <c r="AB95" s="139" t="s">
        <v>837</v>
      </c>
    </row>
    <row r="96" spans="1:28">
      <c r="A96" s="149"/>
      <c r="B96" s="144" t="str">
        <f t="shared" si="9"/>
        <v/>
      </c>
      <c r="C96" s="149"/>
      <c r="D96" s="144" t="str">
        <f t="shared" si="8"/>
        <v/>
      </c>
      <c r="E96" s="183"/>
      <c r="F96" s="144" t="str">
        <f t="shared" si="14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0"/>
        <v/>
      </c>
      <c r="Q96" s="139" t="str">
        <f t="shared" si="11"/>
        <v/>
      </c>
      <c r="U96" s="139">
        <v>4226</v>
      </c>
      <c r="V96" s="139" t="s">
        <v>165</v>
      </c>
      <c r="X96" s="139" t="str">
        <f t="shared" si="12"/>
        <v>42</v>
      </c>
      <c r="Y96" s="139" t="str">
        <f t="shared" si="13"/>
        <v>422</v>
      </c>
      <c r="AA96" s="139" t="s">
        <v>838</v>
      </c>
      <c r="AB96" s="139" t="s">
        <v>839</v>
      </c>
    </row>
    <row r="97" spans="1:28">
      <c r="A97" s="149"/>
      <c r="B97" s="144" t="str">
        <f t="shared" si="9"/>
        <v/>
      </c>
      <c r="C97" s="149"/>
      <c r="D97" s="144" t="str">
        <f t="shared" si="8"/>
        <v/>
      </c>
      <c r="E97" s="183"/>
      <c r="F97" s="144" t="str">
        <f t="shared" si="14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0"/>
        <v/>
      </c>
      <c r="Q97" s="139" t="str">
        <f t="shared" si="11"/>
        <v/>
      </c>
      <c r="U97" s="139">
        <v>4227</v>
      </c>
      <c r="V97" s="139" t="s">
        <v>133</v>
      </c>
      <c r="X97" s="139" t="str">
        <f t="shared" si="12"/>
        <v>42</v>
      </c>
      <c r="Y97" s="139" t="str">
        <f t="shared" si="13"/>
        <v>422</v>
      </c>
      <c r="AA97" s="139" t="s">
        <v>840</v>
      </c>
      <c r="AB97" s="139" t="s">
        <v>841</v>
      </c>
    </row>
    <row r="98" spans="1:28">
      <c r="A98" s="149"/>
      <c r="B98" s="144" t="str">
        <f t="shared" si="9"/>
        <v/>
      </c>
      <c r="C98" s="149"/>
      <c r="D98" s="144" t="str">
        <f t="shared" si="8"/>
        <v/>
      </c>
      <c r="E98" s="183"/>
      <c r="F98" s="144" t="str">
        <f t="shared" si="14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0"/>
        <v/>
      </c>
      <c r="Q98" s="139" t="str">
        <f t="shared" si="11"/>
        <v/>
      </c>
      <c r="U98" s="139">
        <v>4231</v>
      </c>
      <c r="V98" s="139" t="s">
        <v>166</v>
      </c>
      <c r="X98" s="139" t="str">
        <f t="shared" si="12"/>
        <v>42</v>
      </c>
      <c r="Y98" s="139" t="str">
        <f t="shared" si="13"/>
        <v>423</v>
      </c>
      <c r="AA98" s="139" t="s">
        <v>1427</v>
      </c>
      <c r="AB98" s="139" t="s">
        <v>1428</v>
      </c>
    </row>
    <row r="99" spans="1:28">
      <c r="A99" s="149"/>
      <c r="B99" s="144" t="str">
        <f t="shared" si="9"/>
        <v/>
      </c>
      <c r="C99" s="149"/>
      <c r="D99" s="144" t="str">
        <f t="shared" si="8"/>
        <v/>
      </c>
      <c r="E99" s="183"/>
      <c r="F99" s="144" t="str">
        <f t="shared" si="14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0"/>
        <v/>
      </c>
      <c r="Q99" s="139" t="str">
        <f t="shared" si="11"/>
        <v/>
      </c>
      <c r="U99" s="139">
        <v>4233</v>
      </c>
      <c r="V99" s="139" t="s">
        <v>174</v>
      </c>
      <c r="X99" s="139" t="str">
        <f t="shared" si="12"/>
        <v>42</v>
      </c>
      <c r="Y99" s="139" t="str">
        <f t="shared" si="13"/>
        <v>423</v>
      </c>
      <c r="AA99" s="139" t="s">
        <v>1429</v>
      </c>
      <c r="AB99" s="139" t="s">
        <v>1430</v>
      </c>
    </row>
    <row r="100" spans="1:28">
      <c r="A100" s="149"/>
      <c r="B100" s="144" t="str">
        <f t="shared" si="9"/>
        <v/>
      </c>
      <c r="C100" s="149"/>
      <c r="D100" s="144" t="str">
        <f t="shared" si="8"/>
        <v/>
      </c>
      <c r="E100" s="183"/>
      <c r="F100" s="144" t="str">
        <f t="shared" si="14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0"/>
        <v/>
      </c>
      <c r="Q100" s="139" t="str">
        <f t="shared" si="11"/>
        <v/>
      </c>
      <c r="U100" s="139">
        <v>4241</v>
      </c>
      <c r="V100" s="139" t="s">
        <v>111</v>
      </c>
      <c r="X100" s="139" t="str">
        <f t="shared" si="12"/>
        <v>42</v>
      </c>
      <c r="Y100" s="139" t="str">
        <f t="shared" si="13"/>
        <v>424</v>
      </c>
      <c r="AA100" s="139" t="s">
        <v>1431</v>
      </c>
      <c r="AB100" s="139" t="s">
        <v>1432</v>
      </c>
    </row>
    <row r="101" spans="1:28">
      <c r="A101" s="149"/>
      <c r="B101" s="144" t="str">
        <f t="shared" si="9"/>
        <v/>
      </c>
      <c r="C101" s="149"/>
      <c r="D101" s="144" t="str">
        <f t="shared" ref="D101:D164" si="15">IFERROR(VLOOKUP(C101,$U$5:$W$126,2,FALSE),"")</f>
        <v/>
      </c>
      <c r="E101" s="183"/>
      <c r="F101" s="144" t="str">
        <f t="shared" si="14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0"/>
        <v/>
      </c>
      <c r="Q101" s="139" t="str">
        <f t="shared" si="11"/>
        <v/>
      </c>
      <c r="U101" s="139">
        <v>4242</v>
      </c>
      <c r="V101" s="139" t="s">
        <v>143</v>
      </c>
      <c r="X101" s="139" t="str">
        <f t="shared" si="12"/>
        <v>42</v>
      </c>
      <c r="Y101" s="139" t="str">
        <f t="shared" si="13"/>
        <v>424</v>
      </c>
      <c r="AA101" s="139" t="s">
        <v>1433</v>
      </c>
      <c r="AB101" s="139" t="s">
        <v>1434</v>
      </c>
    </row>
    <row r="102" spans="1:28">
      <c r="A102" s="149"/>
      <c r="B102" s="144" t="str">
        <f t="shared" si="9"/>
        <v/>
      </c>
      <c r="C102" s="149"/>
      <c r="D102" s="144" t="str">
        <f t="shared" si="15"/>
        <v/>
      </c>
      <c r="E102" s="183"/>
      <c r="F102" s="144" t="str">
        <f t="shared" si="14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0"/>
        <v/>
      </c>
      <c r="Q102" s="139" t="str">
        <f t="shared" si="11"/>
        <v/>
      </c>
      <c r="U102" s="139">
        <v>4244</v>
      </c>
      <c r="V102" s="139" t="s">
        <v>175</v>
      </c>
      <c r="X102" s="139" t="str">
        <f t="shared" si="12"/>
        <v>42</v>
      </c>
      <c r="Y102" s="139" t="str">
        <f t="shared" si="13"/>
        <v>424</v>
      </c>
      <c r="AA102" s="139" t="s">
        <v>1435</v>
      </c>
      <c r="AB102" s="139" t="s">
        <v>1436</v>
      </c>
    </row>
    <row r="103" spans="1:28">
      <c r="A103" s="149"/>
      <c r="B103" s="144" t="str">
        <f t="shared" si="9"/>
        <v/>
      </c>
      <c r="C103" s="149"/>
      <c r="D103" s="144" t="str">
        <f t="shared" si="15"/>
        <v/>
      </c>
      <c r="E103" s="183"/>
      <c r="F103" s="144" t="str">
        <f t="shared" si="14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0"/>
        <v/>
      </c>
      <c r="Q103" s="139" t="str">
        <f t="shared" si="11"/>
        <v/>
      </c>
      <c r="U103" s="139">
        <v>4251</v>
      </c>
      <c r="V103" s="139" t="s">
        <v>167</v>
      </c>
      <c r="X103" s="139" t="str">
        <f t="shared" si="12"/>
        <v>42</v>
      </c>
      <c r="Y103" s="139" t="str">
        <f t="shared" si="13"/>
        <v>425</v>
      </c>
      <c r="AA103" s="139" t="s">
        <v>1437</v>
      </c>
      <c r="AB103" s="139" t="s">
        <v>1438</v>
      </c>
    </row>
    <row r="104" spans="1:28">
      <c r="A104" s="149"/>
      <c r="B104" s="144" t="str">
        <f t="shared" si="9"/>
        <v/>
      </c>
      <c r="C104" s="149"/>
      <c r="D104" s="144" t="str">
        <f t="shared" si="15"/>
        <v/>
      </c>
      <c r="E104" s="183"/>
      <c r="F104" s="144" t="str">
        <f t="shared" si="14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0"/>
        <v/>
      </c>
      <c r="Q104" s="139" t="str">
        <f t="shared" si="11"/>
        <v/>
      </c>
      <c r="U104" s="139">
        <v>4252</v>
      </c>
      <c r="V104" s="139" t="s">
        <v>168</v>
      </c>
      <c r="X104" s="139" t="str">
        <f t="shared" si="12"/>
        <v>42</v>
      </c>
      <c r="Y104" s="139" t="str">
        <f t="shared" si="13"/>
        <v>425</v>
      </c>
      <c r="AA104" s="139" t="s">
        <v>1439</v>
      </c>
      <c r="AB104" s="139" t="s">
        <v>1440</v>
      </c>
    </row>
    <row r="105" spans="1:28">
      <c r="A105" s="149"/>
      <c r="B105" s="144" t="str">
        <f t="shared" si="9"/>
        <v/>
      </c>
      <c r="C105" s="149"/>
      <c r="D105" s="144" t="str">
        <f t="shared" si="15"/>
        <v/>
      </c>
      <c r="E105" s="183"/>
      <c r="F105" s="144" t="str">
        <f t="shared" si="14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0"/>
        <v/>
      </c>
      <c r="Q105" s="139" t="str">
        <f t="shared" si="11"/>
        <v/>
      </c>
      <c r="U105" s="139">
        <v>4262</v>
      </c>
      <c r="V105" s="139" t="s">
        <v>112</v>
      </c>
      <c r="X105" s="139" t="str">
        <f t="shared" si="12"/>
        <v>42</v>
      </c>
      <c r="Y105" s="139" t="str">
        <f t="shared" si="13"/>
        <v>426</v>
      </c>
      <c r="AA105" s="139" t="s">
        <v>1441</v>
      </c>
      <c r="AB105" s="139" t="s">
        <v>1442</v>
      </c>
    </row>
    <row r="106" spans="1:28">
      <c r="A106" s="149"/>
      <c r="B106" s="144" t="str">
        <f t="shared" si="9"/>
        <v/>
      </c>
      <c r="C106" s="149"/>
      <c r="D106" s="144" t="str">
        <f t="shared" si="15"/>
        <v/>
      </c>
      <c r="E106" s="183"/>
      <c r="F106" s="144" t="str">
        <f t="shared" si="14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0"/>
        <v/>
      </c>
      <c r="Q106" s="139" t="str">
        <f t="shared" si="11"/>
        <v/>
      </c>
      <c r="U106" s="139">
        <v>4263</v>
      </c>
      <c r="V106" s="139" t="s">
        <v>169</v>
      </c>
      <c r="X106" s="139" t="str">
        <f t="shared" si="12"/>
        <v>42</v>
      </c>
      <c r="Y106" s="139" t="str">
        <f t="shared" si="13"/>
        <v>426</v>
      </c>
      <c r="AA106" s="139" t="s">
        <v>1443</v>
      </c>
      <c r="AB106" s="139" t="s">
        <v>1444</v>
      </c>
    </row>
    <row r="107" spans="1:28">
      <c r="A107" s="149"/>
      <c r="B107" s="144" t="str">
        <f t="shared" ref="B107:B170" si="16">IFERROR(VLOOKUP(A107,$R$8:$S$23,2,FALSE),"")</f>
        <v/>
      </c>
      <c r="C107" s="149"/>
      <c r="D107" s="144" t="str">
        <f t="shared" si="15"/>
        <v/>
      </c>
      <c r="E107" s="183"/>
      <c r="F107" s="144" t="str">
        <f t="shared" si="14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0"/>
        <v/>
      </c>
      <c r="Q107" s="139" t="str">
        <f t="shared" si="11"/>
        <v/>
      </c>
      <c r="U107" s="139">
        <v>4264</v>
      </c>
      <c r="V107" s="139" t="s">
        <v>124</v>
      </c>
      <c r="X107" s="139" t="str">
        <f t="shared" si="12"/>
        <v>42</v>
      </c>
      <c r="Y107" s="139" t="str">
        <f t="shared" si="13"/>
        <v>426</v>
      </c>
      <c r="AA107" s="139" t="s">
        <v>1445</v>
      </c>
      <c r="AB107" s="139" t="s">
        <v>1446</v>
      </c>
    </row>
    <row r="108" spans="1:28">
      <c r="A108" s="149"/>
      <c r="B108" s="144" t="str">
        <f t="shared" si="16"/>
        <v/>
      </c>
      <c r="C108" s="149"/>
      <c r="D108" s="144" t="str">
        <f t="shared" si="15"/>
        <v/>
      </c>
      <c r="E108" s="183"/>
      <c r="F108" s="144" t="str">
        <f t="shared" si="14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0"/>
        <v/>
      </c>
      <c r="Q108" s="139" t="str">
        <f t="shared" si="11"/>
        <v/>
      </c>
      <c r="U108" s="139">
        <v>4312</v>
      </c>
      <c r="V108" s="139" t="s">
        <v>126</v>
      </c>
      <c r="X108" s="139" t="str">
        <f t="shared" si="12"/>
        <v>43</v>
      </c>
      <c r="Y108" s="139" t="str">
        <f t="shared" si="13"/>
        <v>431</v>
      </c>
      <c r="AA108" s="139" t="s">
        <v>1447</v>
      </c>
      <c r="AB108" s="139" t="s">
        <v>1448</v>
      </c>
    </row>
    <row r="109" spans="1:28">
      <c r="A109" s="149"/>
      <c r="B109" s="144" t="str">
        <f t="shared" si="16"/>
        <v/>
      </c>
      <c r="C109" s="149"/>
      <c r="D109" s="144" t="str">
        <f t="shared" si="15"/>
        <v/>
      </c>
      <c r="E109" s="183"/>
      <c r="F109" s="144" t="str">
        <f t="shared" si="14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0"/>
        <v/>
      </c>
      <c r="Q109" s="139" t="str">
        <f t="shared" si="11"/>
        <v/>
      </c>
      <c r="U109" s="139">
        <v>4411</v>
      </c>
      <c r="V109" s="139" t="s">
        <v>170</v>
      </c>
      <c r="X109" s="139" t="str">
        <f t="shared" si="12"/>
        <v>44</v>
      </c>
      <c r="Y109" s="139" t="str">
        <f t="shared" si="13"/>
        <v>441</v>
      </c>
      <c r="AA109" s="139" t="s">
        <v>1449</v>
      </c>
      <c r="AB109" s="139" t="s">
        <v>1450</v>
      </c>
    </row>
    <row r="110" spans="1:28">
      <c r="A110" s="149"/>
      <c r="B110" s="144" t="str">
        <f t="shared" si="16"/>
        <v/>
      </c>
      <c r="C110" s="149"/>
      <c r="D110" s="144" t="str">
        <f t="shared" si="15"/>
        <v/>
      </c>
      <c r="E110" s="183"/>
      <c r="F110" s="144" t="str">
        <f t="shared" si="14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0"/>
        <v/>
      </c>
      <c r="Q110" s="139" t="str">
        <f t="shared" si="11"/>
        <v/>
      </c>
      <c r="U110" s="139">
        <v>4511</v>
      </c>
      <c r="V110" s="139" t="s">
        <v>125</v>
      </c>
      <c r="X110" s="139" t="str">
        <f t="shared" si="12"/>
        <v>45</v>
      </c>
      <c r="Y110" s="139" t="str">
        <f t="shared" si="13"/>
        <v>451</v>
      </c>
      <c r="AA110" s="139" t="s">
        <v>1451</v>
      </c>
      <c r="AB110" s="139" t="s">
        <v>1452</v>
      </c>
    </row>
    <row r="111" spans="1:28">
      <c r="A111" s="149"/>
      <c r="B111" s="144" t="str">
        <f t="shared" si="16"/>
        <v/>
      </c>
      <c r="C111" s="149"/>
      <c r="D111" s="144" t="str">
        <f t="shared" si="15"/>
        <v/>
      </c>
      <c r="E111" s="183"/>
      <c r="F111" s="144" t="str">
        <f t="shared" si="14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0"/>
        <v/>
      </c>
      <c r="Q111" s="139" t="str">
        <f t="shared" si="11"/>
        <v/>
      </c>
      <c r="U111" s="139">
        <v>4521</v>
      </c>
      <c r="V111" s="139" t="s">
        <v>144</v>
      </c>
      <c r="X111" s="139" t="str">
        <f t="shared" si="12"/>
        <v>45</v>
      </c>
      <c r="Y111" s="139" t="str">
        <f t="shared" si="13"/>
        <v>452</v>
      </c>
      <c r="AA111" s="139" t="s">
        <v>1453</v>
      </c>
      <c r="AB111" s="139" t="s">
        <v>1454</v>
      </c>
    </row>
    <row r="112" spans="1:28">
      <c r="A112" s="149"/>
      <c r="B112" s="144" t="str">
        <f t="shared" si="16"/>
        <v/>
      </c>
      <c r="C112" s="149"/>
      <c r="D112" s="144" t="str">
        <f t="shared" si="15"/>
        <v/>
      </c>
      <c r="E112" s="183"/>
      <c r="F112" s="144" t="str">
        <f t="shared" si="14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0"/>
        <v/>
      </c>
      <c r="Q112" s="139" t="str">
        <f t="shared" si="11"/>
        <v/>
      </c>
      <c r="U112" s="139">
        <v>4531</v>
      </c>
      <c r="V112" s="139" t="s">
        <v>187</v>
      </c>
      <c r="X112" s="139" t="str">
        <f t="shared" si="12"/>
        <v>45</v>
      </c>
      <c r="Y112" s="139" t="str">
        <f t="shared" si="13"/>
        <v>453</v>
      </c>
      <c r="AA112" s="139" t="s">
        <v>1455</v>
      </c>
      <c r="AB112" s="139" t="s">
        <v>1456</v>
      </c>
    </row>
    <row r="113" spans="1:28">
      <c r="A113" s="149"/>
      <c r="B113" s="144" t="str">
        <f t="shared" si="16"/>
        <v/>
      </c>
      <c r="C113" s="149"/>
      <c r="D113" s="144" t="str">
        <f t="shared" si="15"/>
        <v/>
      </c>
      <c r="E113" s="183"/>
      <c r="F113" s="144" t="str">
        <f t="shared" si="14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0"/>
        <v/>
      </c>
      <c r="Q113" s="139" t="str">
        <f t="shared" si="11"/>
        <v/>
      </c>
      <c r="U113" s="139">
        <v>4541</v>
      </c>
      <c r="V113" s="139" t="s">
        <v>139</v>
      </c>
      <c r="X113" s="139" t="str">
        <f t="shared" si="12"/>
        <v>45</v>
      </c>
      <c r="Y113" s="139" t="str">
        <f t="shared" si="13"/>
        <v>454</v>
      </c>
      <c r="AA113" s="139" t="s">
        <v>1457</v>
      </c>
      <c r="AB113" s="139" t="s">
        <v>1458</v>
      </c>
    </row>
    <row r="114" spans="1:28">
      <c r="A114" s="149"/>
      <c r="B114" s="144" t="str">
        <f t="shared" si="16"/>
        <v/>
      </c>
      <c r="C114" s="149"/>
      <c r="D114" s="144" t="str">
        <f t="shared" si="15"/>
        <v/>
      </c>
      <c r="E114" s="183"/>
      <c r="F114" s="144" t="str">
        <f t="shared" si="14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0"/>
        <v/>
      </c>
      <c r="Q114" s="139" t="str">
        <f t="shared" si="11"/>
        <v/>
      </c>
      <c r="U114" s="139">
        <v>5121</v>
      </c>
      <c r="V114" s="139" t="s">
        <v>195</v>
      </c>
      <c r="X114" s="139" t="str">
        <f t="shared" si="12"/>
        <v>51</v>
      </c>
      <c r="Y114" s="139" t="str">
        <f t="shared" si="13"/>
        <v>512</v>
      </c>
      <c r="AA114" s="139" t="s">
        <v>1459</v>
      </c>
      <c r="AB114" s="139" t="s">
        <v>1460</v>
      </c>
    </row>
    <row r="115" spans="1:28">
      <c r="A115" s="149"/>
      <c r="B115" s="144" t="str">
        <f t="shared" si="16"/>
        <v/>
      </c>
      <c r="C115" s="149"/>
      <c r="D115" s="144" t="str">
        <f t="shared" si="15"/>
        <v/>
      </c>
      <c r="E115" s="183"/>
      <c r="F115" s="144" t="str">
        <f t="shared" si="14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0"/>
        <v/>
      </c>
      <c r="Q115" s="139" t="str">
        <f t="shared" si="11"/>
        <v/>
      </c>
      <c r="U115" s="139">
        <v>5443</v>
      </c>
      <c r="V115" s="139" t="s">
        <v>171</v>
      </c>
      <c r="X115" s="139" t="str">
        <f t="shared" si="12"/>
        <v>54</v>
      </c>
      <c r="Y115" s="139" t="str">
        <f t="shared" si="13"/>
        <v>544</v>
      </c>
      <c r="AA115" s="139" t="s">
        <v>1461</v>
      </c>
      <c r="AB115" s="139" t="s">
        <v>1462</v>
      </c>
    </row>
    <row r="116" spans="1:28">
      <c r="A116" s="149"/>
      <c r="B116" s="144" t="str">
        <f t="shared" si="16"/>
        <v/>
      </c>
      <c r="C116" s="149"/>
      <c r="D116" s="144" t="str">
        <f t="shared" si="15"/>
        <v/>
      </c>
      <c r="E116" s="183"/>
      <c r="F116" s="144" t="str">
        <f t="shared" si="14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0"/>
        <v/>
      </c>
      <c r="Q116" s="139" t="str">
        <f t="shared" si="11"/>
        <v/>
      </c>
      <c r="U116" s="139">
        <v>5121</v>
      </c>
      <c r="V116" s="139" t="s">
        <v>740</v>
      </c>
      <c r="X116" s="139" t="str">
        <f t="shared" si="12"/>
        <v>51</v>
      </c>
      <c r="Y116" s="139" t="str">
        <f t="shared" si="13"/>
        <v>512</v>
      </c>
      <c r="AA116" s="139" t="s">
        <v>1463</v>
      </c>
      <c r="AB116" s="139" t="s">
        <v>1464</v>
      </c>
    </row>
    <row r="117" spans="1:28">
      <c r="A117" s="149"/>
      <c r="B117" s="144" t="str">
        <f t="shared" si="16"/>
        <v/>
      </c>
      <c r="C117" s="149"/>
      <c r="D117" s="144" t="str">
        <f t="shared" si="15"/>
        <v/>
      </c>
      <c r="E117" s="183"/>
      <c r="F117" s="144" t="str">
        <f t="shared" si="14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0"/>
        <v/>
      </c>
      <c r="Q117" s="139" t="str">
        <f t="shared" si="11"/>
        <v/>
      </c>
      <c r="U117" s="139">
        <v>5122</v>
      </c>
      <c r="V117" s="139" t="s">
        <v>741</v>
      </c>
      <c r="X117" s="139" t="str">
        <f t="shared" si="12"/>
        <v>51</v>
      </c>
      <c r="Y117" s="139" t="str">
        <f t="shared" si="13"/>
        <v>512</v>
      </c>
      <c r="AA117" s="139" t="s">
        <v>1465</v>
      </c>
      <c r="AB117" s="139" t="s">
        <v>1466</v>
      </c>
    </row>
    <row r="118" spans="1:28">
      <c r="A118" s="149"/>
      <c r="B118" s="144" t="str">
        <f t="shared" si="16"/>
        <v/>
      </c>
      <c r="C118" s="149"/>
      <c r="D118" s="144" t="str">
        <f t="shared" si="15"/>
        <v/>
      </c>
      <c r="E118" s="183"/>
      <c r="F118" s="144" t="str">
        <f t="shared" si="14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0"/>
        <v/>
      </c>
      <c r="Q118" s="139" t="str">
        <f t="shared" si="11"/>
        <v/>
      </c>
      <c r="U118" s="139">
        <v>5141</v>
      </c>
      <c r="V118" s="139" t="s">
        <v>742</v>
      </c>
      <c r="X118" s="139" t="str">
        <f t="shared" si="12"/>
        <v>51</v>
      </c>
      <c r="Y118" s="139" t="str">
        <f t="shared" si="13"/>
        <v>514</v>
      </c>
      <c r="AA118" s="139" t="s">
        <v>1467</v>
      </c>
      <c r="AB118" s="139" t="s">
        <v>1468</v>
      </c>
    </row>
    <row r="119" spans="1:28">
      <c r="A119" s="149"/>
      <c r="B119" s="144" t="str">
        <f t="shared" si="16"/>
        <v/>
      </c>
      <c r="C119" s="149"/>
      <c r="D119" s="144" t="str">
        <f t="shared" si="15"/>
        <v/>
      </c>
      <c r="E119" s="183"/>
      <c r="F119" s="144" t="str">
        <f t="shared" si="14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0"/>
        <v/>
      </c>
      <c r="Q119" s="139" t="str">
        <f t="shared" si="11"/>
        <v/>
      </c>
      <c r="U119" s="139">
        <v>5181</v>
      </c>
      <c r="V119" s="139" t="s">
        <v>743</v>
      </c>
      <c r="X119" s="139" t="str">
        <f t="shared" si="12"/>
        <v>51</v>
      </c>
      <c r="Y119" s="139" t="str">
        <f t="shared" si="13"/>
        <v>518</v>
      </c>
      <c r="AA119" s="139" t="s">
        <v>1469</v>
      </c>
      <c r="AB119" s="139" t="s">
        <v>1470</v>
      </c>
    </row>
    <row r="120" spans="1:28">
      <c r="A120" s="149"/>
      <c r="B120" s="144" t="str">
        <f t="shared" si="16"/>
        <v/>
      </c>
      <c r="C120" s="149"/>
      <c r="D120" s="144" t="str">
        <f t="shared" si="15"/>
        <v/>
      </c>
      <c r="E120" s="183"/>
      <c r="F120" s="144" t="str">
        <f t="shared" si="14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0"/>
        <v/>
      </c>
      <c r="Q120" s="139" t="str">
        <f t="shared" si="11"/>
        <v/>
      </c>
      <c r="U120" s="139">
        <v>5183</v>
      </c>
      <c r="V120" s="139" t="s">
        <v>744</v>
      </c>
      <c r="X120" s="139" t="str">
        <f t="shared" si="12"/>
        <v>51</v>
      </c>
      <c r="Y120" s="139" t="str">
        <f t="shared" si="13"/>
        <v>518</v>
      </c>
      <c r="AA120" s="139" t="s">
        <v>1471</v>
      </c>
      <c r="AB120" s="139" t="s">
        <v>1472</v>
      </c>
    </row>
    <row r="121" spans="1:28">
      <c r="A121" s="149"/>
      <c r="B121" s="144" t="str">
        <f t="shared" si="16"/>
        <v/>
      </c>
      <c r="C121" s="149"/>
      <c r="D121" s="144" t="str">
        <f t="shared" si="15"/>
        <v/>
      </c>
      <c r="E121" s="183"/>
      <c r="F121" s="144" t="str">
        <f t="shared" si="14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0"/>
        <v/>
      </c>
      <c r="Q121" s="139" t="str">
        <f t="shared" si="11"/>
        <v/>
      </c>
      <c r="U121" s="139">
        <v>5422</v>
      </c>
      <c r="V121" s="139" t="s">
        <v>745</v>
      </c>
      <c r="X121" s="139" t="str">
        <f t="shared" si="12"/>
        <v>54</v>
      </c>
      <c r="Y121" s="139" t="str">
        <f t="shared" si="13"/>
        <v>542</v>
      </c>
      <c r="AA121" s="139" t="s">
        <v>1473</v>
      </c>
      <c r="AB121" s="139" t="s">
        <v>1474</v>
      </c>
    </row>
    <row r="122" spans="1:28">
      <c r="A122" s="149"/>
      <c r="B122" s="144" t="str">
        <f t="shared" si="16"/>
        <v/>
      </c>
      <c r="C122" s="149"/>
      <c r="D122" s="144" t="str">
        <f t="shared" si="15"/>
        <v/>
      </c>
      <c r="E122" s="183"/>
      <c r="F122" s="144" t="str">
        <f t="shared" si="14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0"/>
        <v/>
      </c>
      <c r="Q122" s="139" t="str">
        <f t="shared" si="11"/>
        <v/>
      </c>
      <c r="U122" s="139">
        <v>5431</v>
      </c>
      <c r="V122" s="139" t="s">
        <v>356</v>
      </c>
      <c r="X122" s="139" t="str">
        <f t="shared" si="12"/>
        <v>54</v>
      </c>
      <c r="Y122" s="139" t="str">
        <f t="shared" si="13"/>
        <v>543</v>
      </c>
      <c r="AA122" s="139" t="s">
        <v>1475</v>
      </c>
      <c r="AB122" s="139" t="s">
        <v>1476</v>
      </c>
    </row>
    <row r="123" spans="1:28">
      <c r="A123" s="149"/>
      <c r="B123" s="144" t="str">
        <f t="shared" si="16"/>
        <v/>
      </c>
      <c r="C123" s="149"/>
      <c r="D123" s="144" t="str">
        <f t="shared" si="15"/>
        <v/>
      </c>
      <c r="E123" s="183"/>
      <c r="F123" s="144" t="str">
        <f t="shared" si="14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0"/>
        <v/>
      </c>
      <c r="Q123" s="139" t="str">
        <f t="shared" si="11"/>
        <v/>
      </c>
      <c r="U123" s="139">
        <v>5443</v>
      </c>
      <c r="V123" s="139" t="s">
        <v>746</v>
      </c>
      <c r="X123" s="139" t="str">
        <f t="shared" si="12"/>
        <v>54</v>
      </c>
      <c r="Y123" s="139" t="str">
        <f t="shared" si="13"/>
        <v>544</v>
      </c>
      <c r="AA123" s="139" t="s">
        <v>1477</v>
      </c>
      <c r="AB123" s="139" t="s">
        <v>1478</v>
      </c>
    </row>
    <row r="124" spans="1:28">
      <c r="A124" s="149"/>
      <c r="B124" s="144" t="str">
        <f t="shared" si="16"/>
        <v/>
      </c>
      <c r="C124" s="149"/>
      <c r="D124" s="144" t="str">
        <f t="shared" si="15"/>
        <v/>
      </c>
      <c r="E124" s="183"/>
      <c r="F124" s="144" t="str">
        <f t="shared" si="14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0"/>
        <v/>
      </c>
      <c r="Q124" s="139" t="str">
        <f t="shared" si="11"/>
        <v/>
      </c>
      <c r="U124" s="139">
        <v>5445</v>
      </c>
      <c r="V124" s="139" t="s">
        <v>747</v>
      </c>
      <c r="X124" s="139" t="str">
        <f t="shared" si="12"/>
        <v>54</v>
      </c>
      <c r="Y124" s="139" t="str">
        <f t="shared" si="13"/>
        <v>544</v>
      </c>
      <c r="AA124" s="139" t="s">
        <v>1479</v>
      </c>
      <c r="AB124" s="139" t="s">
        <v>1480</v>
      </c>
    </row>
    <row r="125" spans="1:28">
      <c r="A125" s="149"/>
      <c r="B125" s="144" t="str">
        <f t="shared" si="16"/>
        <v/>
      </c>
      <c r="C125" s="149"/>
      <c r="D125" s="144" t="str">
        <f t="shared" si="15"/>
        <v/>
      </c>
      <c r="E125" s="183"/>
      <c r="F125" s="144" t="str">
        <f t="shared" si="14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0"/>
        <v/>
      </c>
      <c r="Q125" s="139" t="str">
        <f t="shared" si="11"/>
        <v/>
      </c>
      <c r="U125" s="139">
        <v>5453</v>
      </c>
      <c r="V125" s="139" t="s">
        <v>748</v>
      </c>
      <c r="X125" s="139" t="str">
        <f t="shared" si="12"/>
        <v>54</v>
      </c>
      <c r="Y125" s="139" t="str">
        <f t="shared" si="13"/>
        <v>545</v>
      </c>
      <c r="AA125" s="139" t="s">
        <v>1481</v>
      </c>
      <c r="AB125" s="139" t="s">
        <v>1482</v>
      </c>
    </row>
    <row r="126" spans="1:28">
      <c r="A126" s="149"/>
      <c r="B126" s="144" t="str">
        <f t="shared" si="16"/>
        <v/>
      </c>
      <c r="C126" s="149"/>
      <c r="D126" s="144" t="str">
        <f t="shared" si="15"/>
        <v/>
      </c>
      <c r="E126" s="183"/>
      <c r="F126" s="144" t="str">
        <f t="shared" si="14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0"/>
        <v/>
      </c>
      <c r="Q126" s="139" t="str">
        <f t="shared" si="11"/>
        <v/>
      </c>
      <c r="U126" s="139">
        <v>5472</v>
      </c>
      <c r="V126" s="139" t="s">
        <v>749</v>
      </c>
      <c r="X126" s="139" t="str">
        <f t="shared" si="12"/>
        <v>54</v>
      </c>
      <c r="Y126" s="139" t="str">
        <f t="shared" si="13"/>
        <v>547</v>
      </c>
      <c r="AA126" s="139" t="s">
        <v>1483</v>
      </c>
      <c r="AB126" s="139" t="s">
        <v>1484</v>
      </c>
    </row>
    <row r="127" spans="1:28">
      <c r="A127" s="149"/>
      <c r="B127" s="144" t="str">
        <f t="shared" si="16"/>
        <v/>
      </c>
      <c r="C127" s="149"/>
      <c r="D127" s="144" t="str">
        <f t="shared" si="15"/>
        <v/>
      </c>
      <c r="E127" s="183"/>
      <c r="F127" s="144" t="str">
        <f t="shared" si="14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0"/>
        <v/>
      </c>
      <c r="Q127" s="139" t="str">
        <f t="shared" si="11"/>
        <v/>
      </c>
      <c r="AA127" s="139" t="s">
        <v>1485</v>
      </c>
      <c r="AB127" s="139" t="s">
        <v>1486</v>
      </c>
    </row>
    <row r="128" spans="1:28">
      <c r="A128" s="149"/>
      <c r="B128" s="144" t="str">
        <f t="shared" si="16"/>
        <v/>
      </c>
      <c r="C128" s="149"/>
      <c r="D128" s="144" t="str">
        <f t="shared" si="15"/>
        <v/>
      </c>
      <c r="E128" s="183"/>
      <c r="F128" s="144" t="str">
        <f t="shared" si="14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0"/>
        <v/>
      </c>
      <c r="Q128" s="139" t="str">
        <f t="shared" si="11"/>
        <v/>
      </c>
      <c r="AA128" s="139" t="s">
        <v>1487</v>
      </c>
      <c r="AB128" s="139" t="s">
        <v>1488</v>
      </c>
    </row>
    <row r="129" spans="1:28">
      <c r="A129" s="149"/>
      <c r="B129" s="144" t="str">
        <f t="shared" si="16"/>
        <v/>
      </c>
      <c r="C129" s="149"/>
      <c r="D129" s="144" t="str">
        <f t="shared" si="15"/>
        <v/>
      </c>
      <c r="E129" s="183"/>
      <c r="F129" s="144" t="str">
        <f t="shared" si="14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ref="P129:P192" si="17">LEFT(C129,3)</f>
        <v/>
      </c>
      <c r="Q129" s="139" t="str">
        <f t="shared" ref="Q129:Q192" si="18">LEFT(C129,2)</f>
        <v/>
      </c>
      <c r="AA129" s="139" t="s">
        <v>1489</v>
      </c>
      <c r="AB129" s="139" t="s">
        <v>1490</v>
      </c>
    </row>
    <row r="130" spans="1:28">
      <c r="A130" s="149"/>
      <c r="B130" s="144" t="str">
        <f t="shared" si="16"/>
        <v/>
      </c>
      <c r="C130" s="149"/>
      <c r="D130" s="144" t="str">
        <f t="shared" si="15"/>
        <v/>
      </c>
      <c r="E130" s="183"/>
      <c r="F130" s="144" t="str">
        <f t="shared" si="14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7"/>
        <v/>
      </c>
      <c r="Q130" s="139" t="str">
        <f t="shared" si="18"/>
        <v/>
      </c>
      <c r="AA130" s="139" t="s">
        <v>1491</v>
      </c>
      <c r="AB130" s="139" t="s">
        <v>1492</v>
      </c>
    </row>
    <row r="131" spans="1:28">
      <c r="A131" s="149"/>
      <c r="B131" s="144" t="str">
        <f t="shared" si="16"/>
        <v/>
      </c>
      <c r="C131" s="149"/>
      <c r="D131" s="144" t="str">
        <f t="shared" si="15"/>
        <v/>
      </c>
      <c r="E131" s="183"/>
      <c r="F131" s="144" t="str">
        <f t="shared" si="14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7"/>
        <v/>
      </c>
      <c r="Q131" s="139" t="str">
        <f t="shared" si="18"/>
        <v/>
      </c>
      <c r="AA131" s="139" t="s">
        <v>1493</v>
      </c>
      <c r="AB131" s="139" t="s">
        <v>1494</v>
      </c>
    </row>
    <row r="132" spans="1:28">
      <c r="A132" s="149"/>
      <c r="B132" s="144" t="str">
        <f t="shared" si="16"/>
        <v/>
      </c>
      <c r="C132" s="149"/>
      <c r="D132" s="144" t="str">
        <f t="shared" si="15"/>
        <v/>
      </c>
      <c r="E132" s="183"/>
      <c r="F132" s="144" t="str">
        <f t="shared" si="14"/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si="17"/>
        <v/>
      </c>
      <c r="Q132" s="139" t="str">
        <f t="shared" si="18"/>
        <v/>
      </c>
      <c r="AA132" s="139" t="s">
        <v>1495</v>
      </c>
      <c r="AB132" s="139" t="s">
        <v>1496</v>
      </c>
    </row>
    <row r="133" spans="1:28">
      <c r="A133" s="149"/>
      <c r="B133" s="144" t="str">
        <f t="shared" si="16"/>
        <v/>
      </c>
      <c r="C133" s="149"/>
      <c r="D133" s="144" t="str">
        <f t="shared" si="15"/>
        <v/>
      </c>
      <c r="E133" s="183"/>
      <c r="F133" s="144" t="str">
        <f t="shared" si="14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7"/>
        <v/>
      </c>
      <c r="Q133" s="139" t="str">
        <f t="shared" si="18"/>
        <v/>
      </c>
      <c r="AA133" s="139" t="s">
        <v>1497</v>
      </c>
      <c r="AB133" s="139" t="s">
        <v>1498</v>
      </c>
    </row>
    <row r="134" spans="1:28">
      <c r="A134" s="149"/>
      <c r="B134" s="144" t="str">
        <f t="shared" si="16"/>
        <v/>
      </c>
      <c r="C134" s="149"/>
      <c r="D134" s="144" t="str">
        <f t="shared" si="15"/>
        <v/>
      </c>
      <c r="E134" s="183"/>
      <c r="F134" s="144" t="str">
        <f t="shared" si="14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7"/>
        <v/>
      </c>
      <c r="Q134" s="139" t="str">
        <f t="shared" si="18"/>
        <v/>
      </c>
      <c r="AA134" s="139" t="s">
        <v>1499</v>
      </c>
      <c r="AB134" s="139" t="s">
        <v>1500</v>
      </c>
    </row>
    <row r="135" spans="1:28">
      <c r="A135" s="149"/>
      <c r="B135" s="144" t="str">
        <f t="shared" si="16"/>
        <v/>
      </c>
      <c r="C135" s="149"/>
      <c r="D135" s="144" t="str">
        <f t="shared" si="15"/>
        <v/>
      </c>
      <c r="E135" s="183"/>
      <c r="F135" s="144" t="str">
        <f t="shared" si="14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7"/>
        <v/>
      </c>
      <c r="Q135" s="139" t="str">
        <f t="shared" si="18"/>
        <v/>
      </c>
      <c r="AA135" s="139" t="s">
        <v>1501</v>
      </c>
      <c r="AB135" s="139" t="s">
        <v>1502</v>
      </c>
    </row>
    <row r="136" spans="1:28">
      <c r="A136" s="149"/>
      <c r="B136" s="144" t="str">
        <f t="shared" si="16"/>
        <v/>
      </c>
      <c r="C136" s="149"/>
      <c r="D136" s="144" t="str">
        <f t="shared" si="15"/>
        <v/>
      </c>
      <c r="E136" s="183"/>
      <c r="F136" s="144" t="str">
        <f t="shared" ref="F136:F199" si="19">IFERROR(VLOOKUP(E136,$AA$8:$AB$1015,2,FALSE),"")</f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7"/>
        <v/>
      </c>
      <c r="Q136" s="139" t="str">
        <f t="shared" si="18"/>
        <v/>
      </c>
      <c r="AA136" s="139" t="s">
        <v>1503</v>
      </c>
      <c r="AB136" s="139" t="s">
        <v>1504</v>
      </c>
    </row>
    <row r="137" spans="1:28">
      <c r="A137" s="149"/>
      <c r="B137" s="144" t="str">
        <f t="shared" si="16"/>
        <v/>
      </c>
      <c r="C137" s="149"/>
      <c r="D137" s="144" t="str">
        <f t="shared" si="15"/>
        <v/>
      </c>
      <c r="E137" s="183"/>
      <c r="F137" s="144" t="str">
        <f t="shared" si="19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7"/>
        <v/>
      </c>
      <c r="Q137" s="139" t="str">
        <f t="shared" si="18"/>
        <v/>
      </c>
      <c r="AA137" s="139" t="s">
        <v>2307</v>
      </c>
      <c r="AB137" s="139" t="s">
        <v>2308</v>
      </c>
    </row>
    <row r="138" spans="1:28">
      <c r="A138" s="149"/>
      <c r="B138" s="144" t="str">
        <f t="shared" si="16"/>
        <v/>
      </c>
      <c r="C138" s="149"/>
      <c r="D138" s="144" t="str">
        <f t="shared" si="15"/>
        <v/>
      </c>
      <c r="E138" s="183"/>
      <c r="F138" s="144" t="str">
        <f t="shared" si="19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7"/>
        <v/>
      </c>
      <c r="Q138" s="139" t="str">
        <f t="shared" si="18"/>
        <v/>
      </c>
      <c r="AA138" s="139" t="s">
        <v>2309</v>
      </c>
      <c r="AB138" s="139" t="s">
        <v>2310</v>
      </c>
    </row>
    <row r="139" spans="1:28">
      <c r="A139" s="149"/>
      <c r="B139" s="144" t="str">
        <f t="shared" si="16"/>
        <v/>
      </c>
      <c r="C139" s="149"/>
      <c r="D139" s="144" t="str">
        <f t="shared" si="15"/>
        <v/>
      </c>
      <c r="E139" s="183"/>
      <c r="F139" s="144" t="str">
        <f t="shared" si="19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7"/>
        <v/>
      </c>
      <c r="Q139" s="139" t="str">
        <f t="shared" si="18"/>
        <v/>
      </c>
      <c r="AA139" s="139" t="s">
        <v>2311</v>
      </c>
      <c r="AB139" s="139" t="s">
        <v>2312</v>
      </c>
    </row>
    <row r="140" spans="1:28">
      <c r="A140" s="149"/>
      <c r="B140" s="144" t="str">
        <f t="shared" si="16"/>
        <v/>
      </c>
      <c r="C140" s="149"/>
      <c r="D140" s="144" t="str">
        <f t="shared" si="15"/>
        <v/>
      </c>
      <c r="E140" s="183"/>
      <c r="F140" s="144" t="str">
        <f t="shared" si="19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7"/>
        <v/>
      </c>
      <c r="Q140" s="139" t="str">
        <f t="shared" si="18"/>
        <v/>
      </c>
      <c r="AA140" s="139" t="s">
        <v>2313</v>
      </c>
      <c r="AB140" s="139" t="s">
        <v>2314</v>
      </c>
    </row>
    <row r="141" spans="1:28">
      <c r="A141" s="149"/>
      <c r="B141" s="144" t="str">
        <f t="shared" si="16"/>
        <v/>
      </c>
      <c r="C141" s="149"/>
      <c r="D141" s="144" t="str">
        <f t="shared" si="15"/>
        <v/>
      </c>
      <c r="E141" s="183"/>
      <c r="F141" s="144" t="str">
        <f t="shared" si="19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7"/>
        <v/>
      </c>
      <c r="Q141" s="139" t="str">
        <f t="shared" si="18"/>
        <v/>
      </c>
      <c r="AA141" s="139" t="s">
        <v>2315</v>
      </c>
      <c r="AB141" s="139" t="s">
        <v>2316</v>
      </c>
    </row>
    <row r="142" spans="1:28">
      <c r="A142" s="149"/>
      <c r="B142" s="144" t="str">
        <f t="shared" si="16"/>
        <v/>
      </c>
      <c r="C142" s="149"/>
      <c r="D142" s="144" t="str">
        <f t="shared" si="15"/>
        <v/>
      </c>
      <c r="E142" s="183"/>
      <c r="F142" s="144" t="str">
        <f t="shared" si="19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7"/>
        <v/>
      </c>
      <c r="Q142" s="139" t="str">
        <f t="shared" si="18"/>
        <v/>
      </c>
      <c r="AA142" s="139" t="s">
        <v>2317</v>
      </c>
      <c r="AB142" s="139" t="s">
        <v>2318</v>
      </c>
    </row>
    <row r="143" spans="1:28">
      <c r="A143" s="149"/>
      <c r="B143" s="144" t="str">
        <f t="shared" si="16"/>
        <v/>
      </c>
      <c r="C143" s="149"/>
      <c r="D143" s="144" t="str">
        <f t="shared" si="15"/>
        <v/>
      </c>
      <c r="E143" s="183"/>
      <c r="F143" s="144" t="str">
        <f t="shared" si="19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7"/>
        <v/>
      </c>
      <c r="Q143" s="139" t="str">
        <f t="shared" si="18"/>
        <v/>
      </c>
      <c r="AA143" s="139" t="s">
        <v>2319</v>
      </c>
      <c r="AB143" s="139" t="s">
        <v>2320</v>
      </c>
    </row>
    <row r="144" spans="1:28">
      <c r="A144" s="149"/>
      <c r="B144" s="144" t="str">
        <f t="shared" si="16"/>
        <v/>
      </c>
      <c r="C144" s="149"/>
      <c r="D144" s="144" t="str">
        <f t="shared" si="15"/>
        <v/>
      </c>
      <c r="E144" s="183"/>
      <c r="F144" s="144" t="str">
        <f t="shared" si="19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7"/>
        <v/>
      </c>
      <c r="Q144" s="139" t="str">
        <f t="shared" si="18"/>
        <v/>
      </c>
      <c r="AA144" s="139" t="s">
        <v>2321</v>
      </c>
      <c r="AB144" s="139" t="s">
        <v>2322</v>
      </c>
    </row>
    <row r="145" spans="1:28">
      <c r="A145" s="149"/>
      <c r="B145" s="144" t="str">
        <f t="shared" si="16"/>
        <v/>
      </c>
      <c r="C145" s="149"/>
      <c r="D145" s="144" t="str">
        <f t="shared" si="15"/>
        <v/>
      </c>
      <c r="E145" s="183"/>
      <c r="F145" s="144" t="str">
        <f t="shared" si="19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7"/>
        <v/>
      </c>
      <c r="Q145" s="139" t="str">
        <f t="shared" si="18"/>
        <v/>
      </c>
      <c r="AA145" s="139" t="s">
        <v>2323</v>
      </c>
      <c r="AB145" s="139" t="s">
        <v>2324</v>
      </c>
    </row>
    <row r="146" spans="1:28">
      <c r="A146" s="149"/>
      <c r="B146" s="144" t="str">
        <f t="shared" si="16"/>
        <v/>
      </c>
      <c r="C146" s="149"/>
      <c r="D146" s="144" t="str">
        <f t="shared" si="15"/>
        <v/>
      </c>
      <c r="E146" s="183"/>
      <c r="F146" s="144" t="str">
        <f t="shared" si="19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7"/>
        <v/>
      </c>
      <c r="Q146" s="139" t="str">
        <f t="shared" si="18"/>
        <v/>
      </c>
      <c r="AA146" s="139" t="s">
        <v>2325</v>
      </c>
      <c r="AB146" s="139" t="s">
        <v>2326</v>
      </c>
    </row>
    <row r="147" spans="1:28">
      <c r="A147" s="149"/>
      <c r="B147" s="144" t="str">
        <f t="shared" si="16"/>
        <v/>
      </c>
      <c r="C147" s="149"/>
      <c r="D147" s="144" t="str">
        <f t="shared" si="15"/>
        <v/>
      </c>
      <c r="E147" s="183"/>
      <c r="F147" s="144" t="str">
        <f t="shared" si="19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7"/>
        <v/>
      </c>
      <c r="Q147" s="139" t="str">
        <f t="shared" si="18"/>
        <v/>
      </c>
      <c r="AA147" s="139" t="s">
        <v>2327</v>
      </c>
      <c r="AB147" s="139" t="s">
        <v>2264</v>
      </c>
    </row>
    <row r="148" spans="1:28">
      <c r="A148" s="149"/>
      <c r="B148" s="144" t="str">
        <f t="shared" si="16"/>
        <v/>
      </c>
      <c r="C148" s="149"/>
      <c r="D148" s="144" t="str">
        <f t="shared" si="15"/>
        <v/>
      </c>
      <c r="E148" s="183"/>
      <c r="F148" s="144" t="str">
        <f t="shared" si="19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7"/>
        <v/>
      </c>
      <c r="Q148" s="139" t="str">
        <f t="shared" si="18"/>
        <v/>
      </c>
      <c r="AA148" s="139" t="s">
        <v>2328</v>
      </c>
      <c r="AB148" s="139" t="s">
        <v>2329</v>
      </c>
    </row>
    <row r="149" spans="1:28">
      <c r="A149" s="149"/>
      <c r="B149" s="144" t="str">
        <f t="shared" si="16"/>
        <v/>
      </c>
      <c r="C149" s="149"/>
      <c r="D149" s="144" t="str">
        <f t="shared" si="15"/>
        <v/>
      </c>
      <c r="E149" s="183"/>
      <c r="F149" s="144" t="str">
        <f t="shared" si="19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7"/>
        <v/>
      </c>
      <c r="Q149" s="139" t="str">
        <f t="shared" si="18"/>
        <v/>
      </c>
      <c r="AA149" s="139" t="s">
        <v>2330</v>
      </c>
      <c r="AB149" s="139" t="s">
        <v>2331</v>
      </c>
    </row>
    <row r="150" spans="1:28">
      <c r="A150" s="149"/>
      <c r="B150" s="144" t="str">
        <f t="shared" si="16"/>
        <v/>
      </c>
      <c r="C150" s="149"/>
      <c r="D150" s="144" t="str">
        <f t="shared" si="15"/>
        <v/>
      </c>
      <c r="E150" s="183"/>
      <c r="F150" s="144" t="str">
        <f t="shared" si="19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7"/>
        <v/>
      </c>
      <c r="Q150" s="139" t="str">
        <f t="shared" si="18"/>
        <v/>
      </c>
      <c r="AA150" s="139" t="s">
        <v>2332</v>
      </c>
      <c r="AB150" s="139" t="s">
        <v>2333</v>
      </c>
    </row>
    <row r="151" spans="1:28">
      <c r="A151" s="149"/>
      <c r="B151" s="144" t="str">
        <f t="shared" si="16"/>
        <v/>
      </c>
      <c r="C151" s="149"/>
      <c r="D151" s="144" t="str">
        <f t="shared" si="15"/>
        <v/>
      </c>
      <c r="E151" s="183"/>
      <c r="F151" s="144" t="str">
        <f t="shared" si="19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7"/>
        <v/>
      </c>
      <c r="Q151" s="139" t="str">
        <f t="shared" si="18"/>
        <v/>
      </c>
      <c r="AA151" s="139" t="s">
        <v>2334</v>
      </c>
      <c r="AB151" s="139" t="s">
        <v>2335</v>
      </c>
    </row>
    <row r="152" spans="1:28">
      <c r="A152" s="149"/>
      <c r="B152" s="144" t="str">
        <f t="shared" si="16"/>
        <v/>
      </c>
      <c r="C152" s="149"/>
      <c r="D152" s="144" t="str">
        <f t="shared" si="15"/>
        <v/>
      </c>
      <c r="E152" s="183"/>
      <c r="F152" s="144" t="str">
        <f t="shared" si="19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7"/>
        <v/>
      </c>
      <c r="Q152" s="139" t="str">
        <f t="shared" si="18"/>
        <v/>
      </c>
      <c r="AA152" s="139" t="s">
        <v>2336</v>
      </c>
      <c r="AB152" s="139" t="s">
        <v>2337</v>
      </c>
    </row>
    <row r="153" spans="1:28">
      <c r="A153" s="149"/>
      <c r="B153" s="144" t="str">
        <f t="shared" si="16"/>
        <v/>
      </c>
      <c r="C153" s="149"/>
      <c r="D153" s="144" t="str">
        <f t="shared" si="15"/>
        <v/>
      </c>
      <c r="E153" s="183"/>
      <c r="F153" s="144" t="str">
        <f t="shared" si="19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7"/>
        <v/>
      </c>
      <c r="Q153" s="139" t="str">
        <f t="shared" si="18"/>
        <v/>
      </c>
      <c r="AA153" s="139" t="s">
        <v>2338</v>
      </c>
      <c r="AB153" s="139" t="s">
        <v>2339</v>
      </c>
    </row>
    <row r="154" spans="1:28">
      <c r="A154" s="149"/>
      <c r="B154" s="144" t="str">
        <f t="shared" si="16"/>
        <v/>
      </c>
      <c r="C154" s="149"/>
      <c r="D154" s="144" t="str">
        <f t="shared" si="15"/>
        <v/>
      </c>
      <c r="E154" s="183"/>
      <c r="F154" s="144" t="str">
        <f t="shared" si="19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7"/>
        <v/>
      </c>
      <c r="Q154" s="139" t="str">
        <f t="shared" si="18"/>
        <v/>
      </c>
      <c r="AA154" s="139" t="s">
        <v>2340</v>
      </c>
      <c r="AB154" s="139" t="s">
        <v>2341</v>
      </c>
    </row>
    <row r="155" spans="1:28">
      <c r="A155" s="149"/>
      <c r="B155" s="144" t="str">
        <f t="shared" si="16"/>
        <v/>
      </c>
      <c r="C155" s="149"/>
      <c r="D155" s="144" t="str">
        <f t="shared" si="15"/>
        <v/>
      </c>
      <c r="E155" s="183"/>
      <c r="F155" s="144" t="str">
        <f t="shared" si="19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7"/>
        <v/>
      </c>
      <c r="Q155" s="139" t="str">
        <f t="shared" si="18"/>
        <v/>
      </c>
      <c r="AA155" s="139" t="s">
        <v>2342</v>
      </c>
      <c r="AB155" s="139" t="s">
        <v>2343</v>
      </c>
    </row>
    <row r="156" spans="1:28">
      <c r="A156" s="149"/>
      <c r="B156" s="144" t="str">
        <f t="shared" si="16"/>
        <v/>
      </c>
      <c r="C156" s="149"/>
      <c r="D156" s="144" t="str">
        <f t="shared" si="15"/>
        <v/>
      </c>
      <c r="E156" s="183"/>
      <c r="F156" s="144" t="str">
        <f t="shared" si="19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7"/>
        <v/>
      </c>
      <c r="Q156" s="139" t="str">
        <f t="shared" si="18"/>
        <v/>
      </c>
      <c r="AA156" s="139" t="s">
        <v>2344</v>
      </c>
      <c r="AB156" s="139" t="s">
        <v>2345</v>
      </c>
    </row>
    <row r="157" spans="1:28">
      <c r="A157" s="149"/>
      <c r="B157" s="144" t="str">
        <f t="shared" si="16"/>
        <v/>
      </c>
      <c r="C157" s="149"/>
      <c r="D157" s="144" t="str">
        <f t="shared" si="15"/>
        <v/>
      </c>
      <c r="E157" s="183"/>
      <c r="F157" s="144" t="str">
        <f t="shared" si="19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7"/>
        <v/>
      </c>
      <c r="Q157" s="139" t="str">
        <f t="shared" si="18"/>
        <v/>
      </c>
      <c r="AA157" s="139" t="s">
        <v>2346</v>
      </c>
      <c r="AB157" s="139" t="s">
        <v>2347</v>
      </c>
    </row>
    <row r="158" spans="1:28">
      <c r="A158" s="149"/>
      <c r="B158" s="144" t="str">
        <f t="shared" si="16"/>
        <v/>
      </c>
      <c r="C158" s="149"/>
      <c r="D158" s="144" t="str">
        <f t="shared" si="15"/>
        <v/>
      </c>
      <c r="E158" s="183"/>
      <c r="F158" s="144" t="str">
        <f t="shared" si="19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7"/>
        <v/>
      </c>
      <c r="Q158" s="139" t="str">
        <f t="shared" si="18"/>
        <v/>
      </c>
      <c r="AA158" s="139" t="s">
        <v>2348</v>
      </c>
      <c r="AB158" s="139" t="s">
        <v>2349</v>
      </c>
    </row>
    <row r="159" spans="1:28">
      <c r="A159" s="149"/>
      <c r="B159" s="144" t="str">
        <f t="shared" si="16"/>
        <v/>
      </c>
      <c r="C159" s="149"/>
      <c r="D159" s="144" t="str">
        <f t="shared" si="15"/>
        <v/>
      </c>
      <c r="E159" s="183"/>
      <c r="F159" s="144" t="str">
        <f t="shared" si="19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7"/>
        <v/>
      </c>
      <c r="Q159" s="139" t="str">
        <f t="shared" si="18"/>
        <v/>
      </c>
      <c r="AA159" s="139" t="s">
        <v>2350</v>
      </c>
      <c r="AB159" s="139" t="s">
        <v>2351</v>
      </c>
    </row>
    <row r="160" spans="1:28">
      <c r="A160" s="149"/>
      <c r="B160" s="144" t="str">
        <f t="shared" si="16"/>
        <v/>
      </c>
      <c r="C160" s="149"/>
      <c r="D160" s="144" t="str">
        <f t="shared" si="15"/>
        <v/>
      </c>
      <c r="E160" s="183"/>
      <c r="F160" s="144" t="str">
        <f t="shared" si="19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7"/>
        <v/>
      </c>
      <c r="Q160" s="139" t="str">
        <f t="shared" si="18"/>
        <v/>
      </c>
      <c r="AA160" s="139" t="s">
        <v>2352</v>
      </c>
      <c r="AB160" s="139" t="s">
        <v>2353</v>
      </c>
    </row>
    <row r="161" spans="1:28">
      <c r="A161" s="149"/>
      <c r="B161" s="144" t="str">
        <f t="shared" si="16"/>
        <v/>
      </c>
      <c r="C161" s="149"/>
      <c r="D161" s="144" t="str">
        <f t="shared" si="15"/>
        <v/>
      </c>
      <c r="E161" s="183"/>
      <c r="F161" s="144" t="str">
        <f t="shared" si="19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7"/>
        <v/>
      </c>
      <c r="Q161" s="139" t="str">
        <f t="shared" si="18"/>
        <v/>
      </c>
      <c r="AA161" s="139" t="s">
        <v>2354</v>
      </c>
      <c r="AB161" s="139" t="s">
        <v>2355</v>
      </c>
    </row>
    <row r="162" spans="1:28">
      <c r="A162" s="149"/>
      <c r="B162" s="144" t="str">
        <f t="shared" si="16"/>
        <v/>
      </c>
      <c r="C162" s="149"/>
      <c r="D162" s="144" t="str">
        <f t="shared" si="15"/>
        <v/>
      </c>
      <c r="E162" s="183"/>
      <c r="F162" s="144" t="str">
        <f t="shared" si="19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7"/>
        <v/>
      </c>
      <c r="Q162" s="139" t="str">
        <f t="shared" si="18"/>
        <v/>
      </c>
      <c r="AA162" s="139" t="s">
        <v>2356</v>
      </c>
      <c r="AB162" s="139" t="s">
        <v>2357</v>
      </c>
    </row>
    <row r="163" spans="1:28">
      <c r="A163" s="149"/>
      <c r="B163" s="144" t="str">
        <f t="shared" si="16"/>
        <v/>
      </c>
      <c r="C163" s="149"/>
      <c r="D163" s="144" t="str">
        <f t="shared" si="15"/>
        <v/>
      </c>
      <c r="E163" s="183"/>
      <c r="F163" s="144" t="str">
        <f t="shared" si="19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7"/>
        <v/>
      </c>
      <c r="Q163" s="139" t="str">
        <f t="shared" si="18"/>
        <v/>
      </c>
      <c r="AA163" s="139" t="s">
        <v>2358</v>
      </c>
      <c r="AB163" s="139" t="s">
        <v>2359</v>
      </c>
    </row>
    <row r="164" spans="1:28">
      <c r="A164" s="149"/>
      <c r="B164" s="144" t="str">
        <f t="shared" si="16"/>
        <v/>
      </c>
      <c r="C164" s="149"/>
      <c r="D164" s="144" t="str">
        <f t="shared" si="15"/>
        <v/>
      </c>
      <c r="E164" s="183"/>
      <c r="F164" s="144" t="str">
        <f t="shared" si="19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7"/>
        <v/>
      </c>
      <c r="Q164" s="139" t="str">
        <f t="shared" si="18"/>
        <v/>
      </c>
      <c r="AA164" s="139" t="s">
        <v>2360</v>
      </c>
      <c r="AB164" s="139" t="s">
        <v>2361</v>
      </c>
    </row>
    <row r="165" spans="1:28">
      <c r="A165" s="149"/>
      <c r="B165" s="144" t="str">
        <f t="shared" si="16"/>
        <v/>
      </c>
      <c r="C165" s="149"/>
      <c r="D165" s="144" t="str">
        <f t="shared" ref="D165:D228" si="20">IFERROR(VLOOKUP(C165,$U$5:$W$126,2,FALSE),"")</f>
        <v/>
      </c>
      <c r="E165" s="183"/>
      <c r="F165" s="144" t="str">
        <f t="shared" si="19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7"/>
        <v/>
      </c>
      <c r="Q165" s="139" t="str">
        <f t="shared" si="18"/>
        <v/>
      </c>
      <c r="AA165" s="139" t="s">
        <v>2362</v>
      </c>
      <c r="AB165" s="139" t="s">
        <v>2363</v>
      </c>
    </row>
    <row r="166" spans="1:28">
      <c r="A166" s="149"/>
      <c r="B166" s="144" t="str">
        <f t="shared" si="16"/>
        <v/>
      </c>
      <c r="C166" s="149"/>
      <c r="D166" s="144" t="str">
        <f t="shared" si="20"/>
        <v/>
      </c>
      <c r="E166" s="183"/>
      <c r="F166" s="144" t="str">
        <f t="shared" si="19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7"/>
        <v/>
      </c>
      <c r="Q166" s="139" t="str">
        <f t="shared" si="18"/>
        <v/>
      </c>
      <c r="AA166" s="139" t="s">
        <v>2364</v>
      </c>
      <c r="AB166" s="139" t="s">
        <v>2365</v>
      </c>
    </row>
    <row r="167" spans="1:28">
      <c r="A167" s="149"/>
      <c r="B167" s="144" t="str">
        <f t="shared" si="16"/>
        <v/>
      </c>
      <c r="C167" s="149"/>
      <c r="D167" s="144" t="str">
        <f t="shared" si="20"/>
        <v/>
      </c>
      <c r="E167" s="183"/>
      <c r="F167" s="144" t="str">
        <f t="shared" si="19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7"/>
        <v/>
      </c>
      <c r="Q167" s="139" t="str">
        <f t="shared" si="18"/>
        <v/>
      </c>
      <c r="AA167" s="139" t="s">
        <v>2366</v>
      </c>
      <c r="AB167" s="139" t="s">
        <v>2367</v>
      </c>
    </row>
    <row r="168" spans="1:28">
      <c r="A168" s="149"/>
      <c r="B168" s="144" t="str">
        <f t="shared" si="16"/>
        <v/>
      </c>
      <c r="C168" s="149"/>
      <c r="D168" s="144" t="str">
        <f t="shared" si="20"/>
        <v/>
      </c>
      <c r="E168" s="183"/>
      <c r="F168" s="144" t="str">
        <f t="shared" si="19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7"/>
        <v/>
      </c>
      <c r="Q168" s="139" t="str">
        <f t="shared" si="18"/>
        <v/>
      </c>
      <c r="AA168" s="139" t="s">
        <v>2368</v>
      </c>
      <c r="AB168" s="139" t="s">
        <v>2369</v>
      </c>
    </row>
    <row r="169" spans="1:28">
      <c r="A169" s="149"/>
      <c r="B169" s="144" t="str">
        <f t="shared" si="16"/>
        <v/>
      </c>
      <c r="C169" s="149"/>
      <c r="D169" s="144" t="str">
        <f t="shared" si="20"/>
        <v/>
      </c>
      <c r="E169" s="183"/>
      <c r="F169" s="144" t="str">
        <f t="shared" si="19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7"/>
        <v/>
      </c>
      <c r="Q169" s="139" t="str">
        <f t="shared" si="18"/>
        <v/>
      </c>
      <c r="AA169" s="139" t="s">
        <v>2370</v>
      </c>
      <c r="AB169" s="139" t="s">
        <v>2371</v>
      </c>
    </row>
    <row r="170" spans="1:28">
      <c r="A170" s="149"/>
      <c r="B170" s="144" t="str">
        <f t="shared" si="16"/>
        <v/>
      </c>
      <c r="C170" s="149"/>
      <c r="D170" s="144" t="str">
        <f t="shared" si="20"/>
        <v/>
      </c>
      <c r="E170" s="183"/>
      <c r="F170" s="144" t="str">
        <f t="shared" si="19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7"/>
        <v/>
      </c>
      <c r="Q170" s="139" t="str">
        <f t="shared" si="18"/>
        <v/>
      </c>
      <c r="AA170" s="139" t="s">
        <v>2372</v>
      </c>
      <c r="AB170" s="139" t="s">
        <v>2373</v>
      </c>
    </row>
    <row r="171" spans="1:28">
      <c r="A171" s="149"/>
      <c r="B171" s="144" t="str">
        <f t="shared" ref="B171:B234" si="21">IFERROR(VLOOKUP(A171,$R$8:$S$23,2,FALSE),"")</f>
        <v/>
      </c>
      <c r="C171" s="149"/>
      <c r="D171" s="144" t="str">
        <f t="shared" si="20"/>
        <v/>
      </c>
      <c r="E171" s="183"/>
      <c r="F171" s="144" t="str">
        <f t="shared" si="19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7"/>
        <v/>
      </c>
      <c r="Q171" s="139" t="str">
        <f t="shared" si="18"/>
        <v/>
      </c>
      <c r="AA171" s="139" t="s">
        <v>2374</v>
      </c>
      <c r="AB171" s="139" t="s">
        <v>2375</v>
      </c>
    </row>
    <row r="172" spans="1:28">
      <c r="A172" s="149"/>
      <c r="B172" s="144" t="str">
        <f t="shared" si="21"/>
        <v/>
      </c>
      <c r="C172" s="149"/>
      <c r="D172" s="144" t="str">
        <f t="shared" si="20"/>
        <v/>
      </c>
      <c r="E172" s="183"/>
      <c r="F172" s="144" t="str">
        <f t="shared" si="19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7"/>
        <v/>
      </c>
      <c r="Q172" s="139" t="str">
        <f t="shared" si="18"/>
        <v/>
      </c>
      <c r="AA172" s="139" t="s">
        <v>2376</v>
      </c>
      <c r="AB172" s="139" t="s">
        <v>2377</v>
      </c>
    </row>
    <row r="173" spans="1:28">
      <c r="A173" s="149"/>
      <c r="B173" s="144" t="str">
        <f t="shared" si="21"/>
        <v/>
      </c>
      <c r="C173" s="149"/>
      <c r="D173" s="144" t="str">
        <f t="shared" si="20"/>
        <v/>
      </c>
      <c r="E173" s="183"/>
      <c r="F173" s="144" t="str">
        <f t="shared" si="19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7"/>
        <v/>
      </c>
      <c r="Q173" s="139" t="str">
        <f t="shared" si="18"/>
        <v/>
      </c>
      <c r="AA173" s="139" t="s">
        <v>2378</v>
      </c>
      <c r="AB173" s="139" t="s">
        <v>2379</v>
      </c>
    </row>
    <row r="174" spans="1:28">
      <c r="A174" s="149"/>
      <c r="B174" s="144" t="str">
        <f t="shared" si="21"/>
        <v/>
      </c>
      <c r="C174" s="149"/>
      <c r="D174" s="144" t="str">
        <f t="shared" si="20"/>
        <v/>
      </c>
      <c r="E174" s="183"/>
      <c r="F174" s="144" t="str">
        <f t="shared" si="19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7"/>
        <v/>
      </c>
      <c r="Q174" s="139" t="str">
        <f t="shared" si="18"/>
        <v/>
      </c>
      <c r="AA174" s="139" t="s">
        <v>2380</v>
      </c>
      <c r="AB174" s="139" t="s">
        <v>2381</v>
      </c>
    </row>
    <row r="175" spans="1:28">
      <c r="A175" s="149"/>
      <c r="B175" s="144" t="str">
        <f t="shared" si="21"/>
        <v/>
      </c>
      <c r="C175" s="149"/>
      <c r="D175" s="144" t="str">
        <f t="shared" si="20"/>
        <v/>
      </c>
      <c r="E175" s="183"/>
      <c r="F175" s="144" t="str">
        <f t="shared" si="19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7"/>
        <v/>
      </c>
      <c r="Q175" s="139" t="str">
        <f t="shared" si="18"/>
        <v/>
      </c>
      <c r="AA175" s="139" t="s">
        <v>2382</v>
      </c>
      <c r="AB175" s="139" t="s">
        <v>2383</v>
      </c>
    </row>
    <row r="176" spans="1:28">
      <c r="A176" s="149"/>
      <c r="B176" s="144" t="str">
        <f t="shared" si="21"/>
        <v/>
      </c>
      <c r="C176" s="149"/>
      <c r="D176" s="144" t="str">
        <f t="shared" si="20"/>
        <v/>
      </c>
      <c r="E176" s="183"/>
      <c r="F176" s="144" t="str">
        <f t="shared" si="19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7"/>
        <v/>
      </c>
      <c r="Q176" s="139" t="str">
        <f t="shared" si="18"/>
        <v/>
      </c>
      <c r="AA176" s="139" t="s">
        <v>2384</v>
      </c>
      <c r="AB176" s="139" t="s">
        <v>2385</v>
      </c>
    </row>
    <row r="177" spans="1:28">
      <c r="A177" s="149"/>
      <c r="B177" s="144" t="str">
        <f t="shared" si="21"/>
        <v/>
      </c>
      <c r="C177" s="149"/>
      <c r="D177" s="144" t="str">
        <f t="shared" si="20"/>
        <v/>
      </c>
      <c r="E177" s="183"/>
      <c r="F177" s="144" t="str">
        <f t="shared" si="19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7"/>
        <v/>
      </c>
      <c r="Q177" s="139" t="str">
        <f t="shared" si="18"/>
        <v/>
      </c>
      <c r="AA177" s="139" t="s">
        <v>2386</v>
      </c>
      <c r="AB177" s="139" t="s">
        <v>2387</v>
      </c>
    </row>
    <row r="178" spans="1:28">
      <c r="A178" s="149"/>
      <c r="B178" s="144" t="str">
        <f t="shared" si="21"/>
        <v/>
      </c>
      <c r="C178" s="149"/>
      <c r="D178" s="144" t="str">
        <f t="shared" si="20"/>
        <v/>
      </c>
      <c r="E178" s="183"/>
      <c r="F178" s="144" t="str">
        <f t="shared" si="19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7"/>
        <v/>
      </c>
      <c r="Q178" s="139" t="str">
        <f t="shared" si="18"/>
        <v/>
      </c>
      <c r="AA178" s="139" t="s">
        <v>2388</v>
      </c>
      <c r="AB178" s="139" t="s">
        <v>2389</v>
      </c>
    </row>
    <row r="179" spans="1:28">
      <c r="A179" s="149"/>
      <c r="B179" s="144" t="str">
        <f t="shared" si="21"/>
        <v/>
      </c>
      <c r="C179" s="149"/>
      <c r="D179" s="144" t="str">
        <f t="shared" si="20"/>
        <v/>
      </c>
      <c r="E179" s="183"/>
      <c r="F179" s="144" t="str">
        <f t="shared" si="19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7"/>
        <v/>
      </c>
      <c r="Q179" s="139" t="str">
        <f t="shared" si="18"/>
        <v/>
      </c>
      <c r="AA179" s="139" t="s">
        <v>2390</v>
      </c>
      <c r="AB179" s="139" t="s">
        <v>2391</v>
      </c>
    </row>
    <row r="180" spans="1:28">
      <c r="A180" s="149"/>
      <c r="B180" s="144" t="str">
        <f t="shared" si="21"/>
        <v/>
      </c>
      <c r="C180" s="149"/>
      <c r="D180" s="144" t="str">
        <f t="shared" si="20"/>
        <v/>
      </c>
      <c r="E180" s="183"/>
      <c r="F180" s="144" t="str">
        <f t="shared" si="19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7"/>
        <v/>
      </c>
      <c r="Q180" s="139" t="str">
        <f t="shared" si="18"/>
        <v/>
      </c>
      <c r="AA180" s="139" t="s">
        <v>2392</v>
      </c>
      <c r="AB180" s="139" t="s">
        <v>2393</v>
      </c>
    </row>
    <row r="181" spans="1:28">
      <c r="A181" s="149"/>
      <c r="B181" s="144" t="str">
        <f t="shared" si="21"/>
        <v/>
      </c>
      <c r="C181" s="149"/>
      <c r="D181" s="144" t="str">
        <f t="shared" si="20"/>
        <v/>
      </c>
      <c r="E181" s="183"/>
      <c r="F181" s="144" t="str">
        <f t="shared" si="19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7"/>
        <v/>
      </c>
      <c r="Q181" s="139" t="str">
        <f t="shared" si="18"/>
        <v/>
      </c>
      <c r="AA181" s="139" t="s">
        <v>2394</v>
      </c>
      <c r="AB181" s="139" t="s">
        <v>2395</v>
      </c>
    </row>
    <row r="182" spans="1:28">
      <c r="A182" s="149"/>
      <c r="B182" s="144" t="str">
        <f t="shared" si="21"/>
        <v/>
      </c>
      <c r="C182" s="149"/>
      <c r="D182" s="144" t="str">
        <f t="shared" si="20"/>
        <v/>
      </c>
      <c r="E182" s="183"/>
      <c r="F182" s="144" t="str">
        <f t="shared" si="19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7"/>
        <v/>
      </c>
      <c r="Q182" s="139" t="str">
        <f t="shared" si="18"/>
        <v/>
      </c>
      <c r="AA182" s="139" t="s">
        <v>2396</v>
      </c>
      <c r="AB182" s="139" t="s">
        <v>2397</v>
      </c>
    </row>
    <row r="183" spans="1:28">
      <c r="A183" s="149"/>
      <c r="B183" s="144" t="str">
        <f t="shared" si="21"/>
        <v/>
      </c>
      <c r="C183" s="149"/>
      <c r="D183" s="144" t="str">
        <f t="shared" si="20"/>
        <v/>
      </c>
      <c r="E183" s="183"/>
      <c r="F183" s="144" t="str">
        <f t="shared" si="19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7"/>
        <v/>
      </c>
      <c r="Q183" s="139" t="str">
        <f t="shared" si="18"/>
        <v/>
      </c>
      <c r="AA183" s="139" t="s">
        <v>2398</v>
      </c>
      <c r="AB183" s="139" t="s">
        <v>2399</v>
      </c>
    </row>
    <row r="184" spans="1:28">
      <c r="A184" s="149"/>
      <c r="B184" s="144" t="str">
        <f t="shared" si="21"/>
        <v/>
      </c>
      <c r="C184" s="149"/>
      <c r="D184" s="144" t="str">
        <f t="shared" si="20"/>
        <v/>
      </c>
      <c r="E184" s="183"/>
      <c r="F184" s="144" t="str">
        <f t="shared" si="19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7"/>
        <v/>
      </c>
      <c r="Q184" s="139" t="str">
        <f t="shared" si="18"/>
        <v/>
      </c>
      <c r="AA184" s="139" t="s">
        <v>2400</v>
      </c>
      <c r="AB184" s="139" t="s">
        <v>2401</v>
      </c>
    </row>
    <row r="185" spans="1:28">
      <c r="A185" s="149"/>
      <c r="B185" s="144" t="str">
        <f t="shared" si="21"/>
        <v/>
      </c>
      <c r="C185" s="149"/>
      <c r="D185" s="144" t="str">
        <f t="shared" si="20"/>
        <v/>
      </c>
      <c r="E185" s="183"/>
      <c r="F185" s="144" t="str">
        <f t="shared" si="19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7"/>
        <v/>
      </c>
      <c r="Q185" s="139" t="str">
        <f t="shared" si="18"/>
        <v/>
      </c>
      <c r="AA185" s="139" t="s">
        <v>2402</v>
      </c>
      <c r="AB185" s="139" t="s">
        <v>2403</v>
      </c>
    </row>
    <row r="186" spans="1:28">
      <c r="A186" s="149"/>
      <c r="B186" s="144" t="str">
        <f t="shared" si="21"/>
        <v/>
      </c>
      <c r="C186" s="149"/>
      <c r="D186" s="144" t="str">
        <f t="shared" si="20"/>
        <v/>
      </c>
      <c r="E186" s="183"/>
      <c r="F186" s="144" t="str">
        <f t="shared" si="19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7"/>
        <v/>
      </c>
      <c r="Q186" s="139" t="str">
        <f t="shared" si="18"/>
        <v/>
      </c>
      <c r="AA186" s="139" t="s">
        <v>2404</v>
      </c>
      <c r="AB186" s="139" t="s">
        <v>2405</v>
      </c>
    </row>
    <row r="187" spans="1:28">
      <c r="A187" s="149"/>
      <c r="B187" s="144" t="str">
        <f t="shared" si="21"/>
        <v/>
      </c>
      <c r="C187" s="149"/>
      <c r="D187" s="144" t="str">
        <f t="shared" si="20"/>
        <v/>
      </c>
      <c r="E187" s="183"/>
      <c r="F187" s="144" t="str">
        <f t="shared" si="19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7"/>
        <v/>
      </c>
      <c r="Q187" s="139" t="str">
        <f t="shared" si="18"/>
        <v/>
      </c>
      <c r="AA187" s="139" t="s">
        <v>2406</v>
      </c>
      <c r="AB187" s="139" t="s">
        <v>2407</v>
      </c>
    </row>
    <row r="188" spans="1:28">
      <c r="A188" s="149"/>
      <c r="B188" s="144" t="str">
        <f t="shared" si="21"/>
        <v/>
      </c>
      <c r="C188" s="149"/>
      <c r="D188" s="144" t="str">
        <f t="shared" si="20"/>
        <v/>
      </c>
      <c r="E188" s="183"/>
      <c r="F188" s="144" t="str">
        <f t="shared" si="19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7"/>
        <v/>
      </c>
      <c r="Q188" s="139" t="str">
        <f t="shared" si="18"/>
        <v/>
      </c>
      <c r="AA188" s="139" t="s">
        <v>2408</v>
      </c>
      <c r="AB188" s="139" t="s">
        <v>2409</v>
      </c>
    </row>
    <row r="189" spans="1:28">
      <c r="A189" s="149"/>
      <c r="B189" s="144" t="str">
        <f t="shared" si="21"/>
        <v/>
      </c>
      <c r="C189" s="149"/>
      <c r="D189" s="144" t="str">
        <f t="shared" si="20"/>
        <v/>
      </c>
      <c r="E189" s="183"/>
      <c r="F189" s="144" t="str">
        <f t="shared" si="19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7"/>
        <v/>
      </c>
      <c r="Q189" s="139" t="str">
        <f t="shared" si="18"/>
        <v/>
      </c>
      <c r="AA189" s="139" t="s">
        <v>2410</v>
      </c>
      <c r="AB189" s="139" t="s">
        <v>2411</v>
      </c>
    </row>
    <row r="190" spans="1:28">
      <c r="A190" s="149"/>
      <c r="B190" s="144" t="str">
        <f t="shared" si="21"/>
        <v/>
      </c>
      <c r="C190" s="149"/>
      <c r="D190" s="144" t="str">
        <f t="shared" si="20"/>
        <v/>
      </c>
      <c r="E190" s="183"/>
      <c r="F190" s="144" t="str">
        <f t="shared" si="19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7"/>
        <v/>
      </c>
      <c r="Q190" s="139" t="str">
        <f t="shared" si="18"/>
        <v/>
      </c>
      <c r="AA190" s="139" t="s">
        <v>2412</v>
      </c>
      <c r="AB190" s="139" t="s">
        <v>2413</v>
      </c>
    </row>
    <row r="191" spans="1:28">
      <c r="A191" s="149"/>
      <c r="B191" s="144" t="str">
        <f t="shared" si="21"/>
        <v/>
      </c>
      <c r="C191" s="149"/>
      <c r="D191" s="144" t="str">
        <f t="shared" si="20"/>
        <v/>
      </c>
      <c r="E191" s="183"/>
      <c r="F191" s="144" t="str">
        <f t="shared" si="19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7"/>
        <v/>
      </c>
      <c r="Q191" s="139" t="str">
        <f t="shared" si="18"/>
        <v/>
      </c>
      <c r="AA191" s="139" t="s">
        <v>2414</v>
      </c>
      <c r="AB191" s="139" t="s">
        <v>2415</v>
      </c>
    </row>
    <row r="192" spans="1:28">
      <c r="A192" s="149"/>
      <c r="B192" s="144" t="str">
        <f t="shared" si="21"/>
        <v/>
      </c>
      <c r="C192" s="149"/>
      <c r="D192" s="144" t="str">
        <f t="shared" si="20"/>
        <v/>
      </c>
      <c r="E192" s="183"/>
      <c r="F192" s="144" t="str">
        <f t="shared" si="19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7"/>
        <v/>
      </c>
      <c r="Q192" s="139" t="str">
        <f t="shared" si="18"/>
        <v/>
      </c>
      <c r="AA192" s="139" t="s">
        <v>2416</v>
      </c>
      <c r="AB192" s="139" t="s">
        <v>2417</v>
      </c>
    </row>
    <row r="193" spans="1:28">
      <c r="A193" s="149"/>
      <c r="B193" s="144" t="str">
        <f t="shared" si="21"/>
        <v/>
      </c>
      <c r="C193" s="149"/>
      <c r="D193" s="144" t="str">
        <f t="shared" si="20"/>
        <v/>
      </c>
      <c r="E193" s="183"/>
      <c r="F193" s="144" t="str">
        <f t="shared" si="19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ref="P193:P256" si="22">LEFT(C193,3)</f>
        <v/>
      </c>
      <c r="Q193" s="139" t="str">
        <f t="shared" ref="Q193:Q256" si="23">LEFT(C193,2)</f>
        <v/>
      </c>
      <c r="AA193" s="139" t="s">
        <v>2418</v>
      </c>
      <c r="AB193" s="139" t="s">
        <v>2419</v>
      </c>
    </row>
    <row r="194" spans="1:28">
      <c r="A194" s="149"/>
      <c r="B194" s="144" t="str">
        <f t="shared" si="21"/>
        <v/>
      </c>
      <c r="C194" s="149"/>
      <c r="D194" s="144" t="str">
        <f t="shared" si="20"/>
        <v/>
      </c>
      <c r="E194" s="183"/>
      <c r="F194" s="144" t="str">
        <f t="shared" si="19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22"/>
        <v/>
      </c>
      <c r="Q194" s="139" t="str">
        <f t="shared" si="23"/>
        <v/>
      </c>
      <c r="AA194" s="139" t="s">
        <v>2420</v>
      </c>
      <c r="AB194" s="139" t="s">
        <v>2421</v>
      </c>
    </row>
    <row r="195" spans="1:28">
      <c r="A195" s="149"/>
      <c r="B195" s="144" t="str">
        <f t="shared" si="21"/>
        <v/>
      </c>
      <c r="C195" s="149"/>
      <c r="D195" s="144" t="str">
        <f t="shared" si="20"/>
        <v/>
      </c>
      <c r="E195" s="183"/>
      <c r="F195" s="144" t="str">
        <f t="shared" si="19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22"/>
        <v/>
      </c>
      <c r="Q195" s="139" t="str">
        <f t="shared" si="23"/>
        <v/>
      </c>
      <c r="AA195" s="139" t="s">
        <v>2422</v>
      </c>
      <c r="AB195" s="139" t="s">
        <v>2423</v>
      </c>
    </row>
    <row r="196" spans="1:28">
      <c r="A196" s="149"/>
      <c r="B196" s="144" t="str">
        <f t="shared" si="21"/>
        <v/>
      </c>
      <c r="C196" s="149"/>
      <c r="D196" s="144" t="str">
        <f t="shared" si="20"/>
        <v/>
      </c>
      <c r="E196" s="183"/>
      <c r="F196" s="144" t="str">
        <f t="shared" si="19"/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si="22"/>
        <v/>
      </c>
      <c r="Q196" s="139" t="str">
        <f t="shared" si="23"/>
        <v/>
      </c>
      <c r="AA196" s="139" t="s">
        <v>2424</v>
      </c>
      <c r="AB196" s="139" t="s">
        <v>2425</v>
      </c>
    </row>
    <row r="197" spans="1:28">
      <c r="A197" s="149"/>
      <c r="B197" s="144" t="str">
        <f t="shared" si="21"/>
        <v/>
      </c>
      <c r="C197" s="149"/>
      <c r="D197" s="144" t="str">
        <f t="shared" si="20"/>
        <v/>
      </c>
      <c r="E197" s="183"/>
      <c r="F197" s="144" t="str">
        <f t="shared" si="19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2"/>
        <v/>
      </c>
      <c r="Q197" s="139" t="str">
        <f t="shared" si="23"/>
        <v/>
      </c>
      <c r="AA197" s="139" t="s">
        <v>2426</v>
      </c>
      <c r="AB197" s="139" t="s">
        <v>2427</v>
      </c>
    </row>
    <row r="198" spans="1:28">
      <c r="A198" s="149"/>
      <c r="B198" s="144" t="str">
        <f t="shared" si="21"/>
        <v/>
      </c>
      <c r="C198" s="149"/>
      <c r="D198" s="144" t="str">
        <f t="shared" si="20"/>
        <v/>
      </c>
      <c r="E198" s="183"/>
      <c r="F198" s="144" t="str">
        <f t="shared" si="19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2"/>
        <v/>
      </c>
      <c r="Q198" s="139" t="str">
        <f t="shared" si="23"/>
        <v/>
      </c>
      <c r="AA198" s="139" t="s">
        <v>2428</v>
      </c>
      <c r="AB198" s="139" t="s">
        <v>2429</v>
      </c>
    </row>
    <row r="199" spans="1:28">
      <c r="A199" s="149"/>
      <c r="B199" s="144" t="str">
        <f t="shared" si="21"/>
        <v/>
      </c>
      <c r="C199" s="149"/>
      <c r="D199" s="144" t="str">
        <f t="shared" si="20"/>
        <v/>
      </c>
      <c r="E199" s="183"/>
      <c r="F199" s="144" t="str">
        <f t="shared" si="19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2"/>
        <v/>
      </c>
      <c r="Q199" s="139" t="str">
        <f t="shared" si="23"/>
        <v/>
      </c>
      <c r="AA199" s="139" t="s">
        <v>2430</v>
      </c>
      <c r="AB199" s="139" t="s">
        <v>2431</v>
      </c>
    </row>
    <row r="200" spans="1:28">
      <c r="A200" s="149"/>
      <c r="B200" s="144" t="str">
        <f t="shared" si="21"/>
        <v/>
      </c>
      <c r="C200" s="149"/>
      <c r="D200" s="144" t="str">
        <f t="shared" si="20"/>
        <v/>
      </c>
      <c r="E200" s="183"/>
      <c r="F200" s="144" t="str">
        <f t="shared" ref="F200:F263" si="24">IFERROR(VLOOKUP(E200,$AA$8:$AB$1015,2,FALSE),"")</f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2"/>
        <v/>
      </c>
      <c r="Q200" s="139" t="str">
        <f t="shared" si="23"/>
        <v/>
      </c>
      <c r="AA200" s="139" t="s">
        <v>2432</v>
      </c>
      <c r="AB200" s="139" t="s">
        <v>2433</v>
      </c>
    </row>
    <row r="201" spans="1:28">
      <c r="A201" s="149"/>
      <c r="B201" s="144" t="str">
        <f t="shared" si="21"/>
        <v/>
      </c>
      <c r="C201" s="149"/>
      <c r="D201" s="144" t="str">
        <f t="shared" si="20"/>
        <v/>
      </c>
      <c r="E201" s="183"/>
      <c r="F201" s="144" t="str">
        <f t="shared" si="24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2"/>
        <v/>
      </c>
      <c r="Q201" s="139" t="str">
        <f t="shared" si="23"/>
        <v/>
      </c>
      <c r="AA201" s="139" t="s">
        <v>2434</v>
      </c>
      <c r="AB201" s="139" t="s">
        <v>2435</v>
      </c>
    </row>
    <row r="202" spans="1:28">
      <c r="A202" s="149"/>
      <c r="B202" s="144" t="str">
        <f t="shared" si="21"/>
        <v/>
      </c>
      <c r="C202" s="149"/>
      <c r="D202" s="144" t="str">
        <f t="shared" si="20"/>
        <v/>
      </c>
      <c r="E202" s="183"/>
      <c r="F202" s="144" t="str">
        <f t="shared" si="24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2"/>
        <v/>
      </c>
      <c r="Q202" s="139" t="str">
        <f t="shared" si="23"/>
        <v/>
      </c>
      <c r="AA202" s="139" t="s">
        <v>2436</v>
      </c>
      <c r="AB202" s="139" t="s">
        <v>2437</v>
      </c>
    </row>
    <row r="203" spans="1:28">
      <c r="A203" s="149"/>
      <c r="B203" s="144" t="str">
        <f t="shared" si="21"/>
        <v/>
      </c>
      <c r="C203" s="149"/>
      <c r="D203" s="144" t="str">
        <f t="shared" si="20"/>
        <v/>
      </c>
      <c r="E203" s="183"/>
      <c r="F203" s="144" t="str">
        <f t="shared" si="24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2"/>
        <v/>
      </c>
      <c r="Q203" s="139" t="str">
        <f t="shared" si="23"/>
        <v/>
      </c>
      <c r="AA203" s="139" t="s">
        <v>2438</v>
      </c>
      <c r="AB203" s="139" t="s">
        <v>2439</v>
      </c>
    </row>
    <row r="204" spans="1:28">
      <c r="A204" s="149"/>
      <c r="B204" s="144" t="str">
        <f t="shared" si="21"/>
        <v/>
      </c>
      <c r="C204" s="149"/>
      <c r="D204" s="144" t="str">
        <f t="shared" si="20"/>
        <v/>
      </c>
      <c r="E204" s="183"/>
      <c r="F204" s="144" t="str">
        <f t="shared" si="24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2"/>
        <v/>
      </c>
      <c r="Q204" s="139" t="str">
        <f t="shared" si="23"/>
        <v/>
      </c>
      <c r="AA204" s="139" t="s">
        <v>2440</v>
      </c>
      <c r="AB204" s="139" t="s">
        <v>2441</v>
      </c>
    </row>
    <row r="205" spans="1:28">
      <c r="A205" s="149"/>
      <c r="B205" s="144" t="str">
        <f t="shared" si="21"/>
        <v/>
      </c>
      <c r="C205" s="149"/>
      <c r="D205" s="144" t="str">
        <f t="shared" si="20"/>
        <v/>
      </c>
      <c r="E205" s="183"/>
      <c r="F205" s="144" t="str">
        <f t="shared" si="24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2"/>
        <v/>
      </c>
      <c r="Q205" s="139" t="str">
        <f t="shared" si="23"/>
        <v/>
      </c>
      <c r="AA205" s="139" t="s">
        <v>2442</v>
      </c>
      <c r="AB205" s="139" t="s">
        <v>2443</v>
      </c>
    </row>
    <row r="206" spans="1:28">
      <c r="A206" s="149"/>
      <c r="B206" s="144" t="str">
        <f t="shared" si="21"/>
        <v/>
      </c>
      <c r="C206" s="149"/>
      <c r="D206" s="144" t="str">
        <f t="shared" si="20"/>
        <v/>
      </c>
      <c r="E206" s="183"/>
      <c r="F206" s="144" t="str">
        <f t="shared" si="24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2"/>
        <v/>
      </c>
      <c r="Q206" s="139" t="str">
        <f t="shared" si="23"/>
        <v/>
      </c>
      <c r="AA206" s="139" t="s">
        <v>2444</v>
      </c>
      <c r="AB206" s="139" t="s">
        <v>2445</v>
      </c>
    </row>
    <row r="207" spans="1:28">
      <c r="A207" s="149"/>
      <c r="B207" s="144" t="str">
        <f t="shared" si="21"/>
        <v/>
      </c>
      <c r="C207" s="149"/>
      <c r="D207" s="144" t="str">
        <f t="shared" si="20"/>
        <v/>
      </c>
      <c r="E207" s="183"/>
      <c r="F207" s="144" t="str">
        <f t="shared" si="24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2"/>
        <v/>
      </c>
      <c r="Q207" s="139" t="str">
        <f t="shared" si="23"/>
        <v/>
      </c>
      <c r="AA207" s="139" t="s">
        <v>2446</v>
      </c>
      <c r="AB207" s="139" t="s">
        <v>2447</v>
      </c>
    </row>
    <row r="208" spans="1:28">
      <c r="A208" s="149"/>
      <c r="B208" s="144" t="str">
        <f t="shared" si="21"/>
        <v/>
      </c>
      <c r="C208" s="149"/>
      <c r="D208" s="144" t="str">
        <f t="shared" si="20"/>
        <v/>
      </c>
      <c r="E208" s="183"/>
      <c r="F208" s="144" t="str">
        <f t="shared" si="24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2"/>
        <v/>
      </c>
      <c r="Q208" s="139" t="str">
        <f t="shared" si="23"/>
        <v/>
      </c>
      <c r="AA208" s="139" t="s">
        <v>2448</v>
      </c>
      <c r="AB208" s="139" t="s">
        <v>2449</v>
      </c>
    </row>
    <row r="209" spans="1:28">
      <c r="A209" s="149"/>
      <c r="B209" s="144" t="str">
        <f t="shared" si="21"/>
        <v/>
      </c>
      <c r="C209" s="149"/>
      <c r="D209" s="144" t="str">
        <f t="shared" si="20"/>
        <v/>
      </c>
      <c r="E209" s="183"/>
      <c r="F209" s="144" t="str">
        <f t="shared" si="24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2"/>
        <v/>
      </c>
      <c r="Q209" s="139" t="str">
        <f t="shared" si="23"/>
        <v/>
      </c>
      <c r="AA209" s="139" t="s">
        <v>2450</v>
      </c>
      <c r="AB209" s="139" t="s">
        <v>2451</v>
      </c>
    </row>
    <row r="210" spans="1:28">
      <c r="A210" s="149"/>
      <c r="B210" s="144" t="str">
        <f t="shared" si="21"/>
        <v/>
      </c>
      <c r="C210" s="149"/>
      <c r="D210" s="144" t="str">
        <f t="shared" si="20"/>
        <v/>
      </c>
      <c r="E210" s="183"/>
      <c r="F210" s="144" t="str">
        <f t="shared" si="24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2"/>
        <v/>
      </c>
      <c r="Q210" s="139" t="str">
        <f t="shared" si="23"/>
        <v/>
      </c>
      <c r="AA210" s="139" t="s">
        <v>2452</v>
      </c>
      <c r="AB210" s="139" t="s">
        <v>2453</v>
      </c>
    </row>
    <row r="211" spans="1:28">
      <c r="A211" s="149"/>
      <c r="B211" s="144" t="str">
        <f t="shared" si="21"/>
        <v/>
      </c>
      <c r="C211" s="149"/>
      <c r="D211" s="144" t="str">
        <f t="shared" si="20"/>
        <v/>
      </c>
      <c r="E211" s="183"/>
      <c r="F211" s="144" t="str">
        <f t="shared" si="24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2"/>
        <v/>
      </c>
      <c r="Q211" s="139" t="str">
        <f t="shared" si="23"/>
        <v/>
      </c>
      <c r="AA211" s="139" t="s">
        <v>2454</v>
      </c>
      <c r="AB211" s="139" t="s">
        <v>2455</v>
      </c>
    </row>
    <row r="212" spans="1:28">
      <c r="A212" s="149"/>
      <c r="B212" s="144" t="str">
        <f t="shared" si="21"/>
        <v/>
      </c>
      <c r="C212" s="149"/>
      <c r="D212" s="144" t="str">
        <f t="shared" si="20"/>
        <v/>
      </c>
      <c r="E212" s="183"/>
      <c r="F212" s="144" t="str">
        <f t="shared" si="24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2"/>
        <v/>
      </c>
      <c r="Q212" s="139" t="str">
        <f t="shared" si="23"/>
        <v/>
      </c>
      <c r="AA212" s="139" t="s">
        <v>2456</v>
      </c>
      <c r="AB212" s="139" t="s">
        <v>2457</v>
      </c>
    </row>
    <row r="213" spans="1:28">
      <c r="A213" s="149"/>
      <c r="B213" s="144" t="str">
        <f t="shared" si="21"/>
        <v/>
      </c>
      <c r="C213" s="149"/>
      <c r="D213" s="144" t="str">
        <f t="shared" si="20"/>
        <v/>
      </c>
      <c r="E213" s="183"/>
      <c r="F213" s="144" t="str">
        <f t="shared" si="24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2"/>
        <v/>
      </c>
      <c r="Q213" s="139" t="str">
        <f t="shared" si="23"/>
        <v/>
      </c>
      <c r="AA213" s="139" t="s">
        <v>2458</v>
      </c>
      <c r="AB213" s="139" t="s">
        <v>2459</v>
      </c>
    </row>
    <row r="214" spans="1:28">
      <c r="A214" s="149"/>
      <c r="B214" s="144" t="str">
        <f t="shared" si="21"/>
        <v/>
      </c>
      <c r="C214" s="149"/>
      <c r="D214" s="144" t="str">
        <f t="shared" si="20"/>
        <v/>
      </c>
      <c r="E214" s="183"/>
      <c r="F214" s="144" t="str">
        <f t="shared" si="24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2"/>
        <v/>
      </c>
      <c r="Q214" s="139" t="str">
        <f t="shared" si="23"/>
        <v/>
      </c>
      <c r="AA214" s="139" t="s">
        <v>2460</v>
      </c>
      <c r="AB214" s="139" t="s">
        <v>2461</v>
      </c>
    </row>
    <row r="215" spans="1:28">
      <c r="A215" s="149"/>
      <c r="B215" s="144" t="str">
        <f t="shared" si="21"/>
        <v/>
      </c>
      <c r="C215" s="149"/>
      <c r="D215" s="144" t="str">
        <f t="shared" si="20"/>
        <v/>
      </c>
      <c r="E215" s="183"/>
      <c r="F215" s="144" t="str">
        <f t="shared" si="24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2"/>
        <v/>
      </c>
      <c r="Q215" s="139" t="str">
        <f t="shared" si="23"/>
        <v/>
      </c>
      <c r="AA215" s="139" t="s">
        <v>2462</v>
      </c>
      <c r="AB215" s="139" t="s">
        <v>2463</v>
      </c>
    </row>
    <row r="216" spans="1:28">
      <c r="A216" s="149"/>
      <c r="B216" s="144" t="str">
        <f t="shared" si="21"/>
        <v/>
      </c>
      <c r="C216" s="149"/>
      <c r="D216" s="144" t="str">
        <f t="shared" si="20"/>
        <v/>
      </c>
      <c r="E216" s="183"/>
      <c r="F216" s="144" t="str">
        <f t="shared" si="24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2"/>
        <v/>
      </c>
      <c r="Q216" s="139" t="str">
        <f t="shared" si="23"/>
        <v/>
      </c>
      <c r="AA216" s="139" t="s">
        <v>2464</v>
      </c>
      <c r="AB216" s="139" t="s">
        <v>2465</v>
      </c>
    </row>
    <row r="217" spans="1:28">
      <c r="A217" s="149"/>
      <c r="B217" s="144" t="str">
        <f t="shared" si="21"/>
        <v/>
      </c>
      <c r="C217" s="149"/>
      <c r="D217" s="144" t="str">
        <f t="shared" si="20"/>
        <v/>
      </c>
      <c r="E217" s="183"/>
      <c r="F217" s="144" t="str">
        <f t="shared" si="24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2"/>
        <v/>
      </c>
      <c r="Q217" s="139" t="str">
        <f t="shared" si="23"/>
        <v/>
      </c>
      <c r="AA217" s="139" t="s">
        <v>2466</v>
      </c>
      <c r="AB217" s="139" t="s">
        <v>2467</v>
      </c>
    </row>
    <row r="218" spans="1:28">
      <c r="A218" s="149"/>
      <c r="B218" s="144" t="str">
        <f t="shared" si="21"/>
        <v/>
      </c>
      <c r="C218" s="149"/>
      <c r="D218" s="144" t="str">
        <f t="shared" si="20"/>
        <v/>
      </c>
      <c r="E218" s="183"/>
      <c r="F218" s="144" t="str">
        <f t="shared" si="24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2"/>
        <v/>
      </c>
      <c r="Q218" s="139" t="str">
        <f t="shared" si="23"/>
        <v/>
      </c>
      <c r="AA218" s="139" t="s">
        <v>2468</v>
      </c>
      <c r="AB218" s="139" t="s">
        <v>2469</v>
      </c>
    </row>
    <row r="219" spans="1:28">
      <c r="A219" s="149"/>
      <c r="B219" s="144" t="str">
        <f t="shared" si="21"/>
        <v/>
      </c>
      <c r="C219" s="149"/>
      <c r="D219" s="144" t="str">
        <f t="shared" si="20"/>
        <v/>
      </c>
      <c r="E219" s="183"/>
      <c r="F219" s="144" t="str">
        <f t="shared" si="24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2"/>
        <v/>
      </c>
      <c r="Q219" s="139" t="str">
        <f t="shared" si="23"/>
        <v/>
      </c>
      <c r="AA219" s="139" t="s">
        <v>842</v>
      </c>
      <c r="AB219" s="139" t="s">
        <v>843</v>
      </c>
    </row>
    <row r="220" spans="1:28">
      <c r="A220" s="149"/>
      <c r="B220" s="144" t="str">
        <f t="shared" si="21"/>
        <v/>
      </c>
      <c r="C220" s="149"/>
      <c r="D220" s="144" t="str">
        <f t="shared" si="20"/>
        <v/>
      </c>
      <c r="E220" s="183"/>
      <c r="F220" s="144" t="str">
        <f t="shared" si="24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2"/>
        <v/>
      </c>
      <c r="Q220" s="139" t="str">
        <f t="shared" si="23"/>
        <v/>
      </c>
      <c r="AA220" s="139" t="s">
        <v>844</v>
      </c>
      <c r="AB220" s="139" t="s">
        <v>845</v>
      </c>
    </row>
    <row r="221" spans="1:28">
      <c r="A221" s="149"/>
      <c r="B221" s="144" t="str">
        <f t="shared" si="21"/>
        <v/>
      </c>
      <c r="C221" s="149"/>
      <c r="D221" s="144" t="str">
        <f t="shared" si="20"/>
        <v/>
      </c>
      <c r="E221" s="183"/>
      <c r="F221" s="144" t="str">
        <f t="shared" si="24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2"/>
        <v/>
      </c>
      <c r="Q221" s="139" t="str">
        <f t="shared" si="23"/>
        <v/>
      </c>
      <c r="AA221" s="139" t="s">
        <v>846</v>
      </c>
      <c r="AB221" s="139" t="s">
        <v>847</v>
      </c>
    </row>
    <row r="222" spans="1:28">
      <c r="A222" s="149"/>
      <c r="B222" s="144" t="str">
        <f t="shared" si="21"/>
        <v/>
      </c>
      <c r="C222" s="149"/>
      <c r="D222" s="144" t="str">
        <f t="shared" si="20"/>
        <v/>
      </c>
      <c r="E222" s="183"/>
      <c r="F222" s="144" t="str">
        <f t="shared" si="24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2"/>
        <v/>
      </c>
      <c r="Q222" s="139" t="str">
        <f t="shared" si="23"/>
        <v/>
      </c>
      <c r="AA222" s="139" t="s">
        <v>848</v>
      </c>
      <c r="AB222" s="139" t="s">
        <v>849</v>
      </c>
    </row>
    <row r="223" spans="1:28">
      <c r="A223" s="149"/>
      <c r="B223" s="144" t="str">
        <f t="shared" si="21"/>
        <v/>
      </c>
      <c r="C223" s="149"/>
      <c r="D223" s="144" t="str">
        <f t="shared" si="20"/>
        <v/>
      </c>
      <c r="E223" s="183"/>
      <c r="F223" s="144" t="str">
        <f t="shared" si="24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2"/>
        <v/>
      </c>
      <c r="Q223" s="139" t="str">
        <f t="shared" si="23"/>
        <v/>
      </c>
      <c r="AA223" s="139" t="s">
        <v>850</v>
      </c>
      <c r="AB223" s="139" t="s">
        <v>851</v>
      </c>
    </row>
    <row r="224" spans="1:28">
      <c r="A224" s="149"/>
      <c r="B224" s="144" t="str">
        <f t="shared" si="21"/>
        <v/>
      </c>
      <c r="C224" s="149"/>
      <c r="D224" s="144" t="str">
        <f t="shared" si="20"/>
        <v/>
      </c>
      <c r="E224" s="183"/>
      <c r="F224" s="144" t="str">
        <f t="shared" si="24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2"/>
        <v/>
      </c>
      <c r="Q224" s="139" t="str">
        <f t="shared" si="23"/>
        <v/>
      </c>
      <c r="AA224" s="139" t="s">
        <v>852</v>
      </c>
      <c r="AB224" s="139" t="s">
        <v>853</v>
      </c>
    </row>
    <row r="225" spans="1:28">
      <c r="A225" s="149"/>
      <c r="B225" s="144" t="str">
        <f t="shared" si="21"/>
        <v/>
      </c>
      <c r="C225" s="149"/>
      <c r="D225" s="144" t="str">
        <f t="shared" si="20"/>
        <v/>
      </c>
      <c r="E225" s="183"/>
      <c r="F225" s="144" t="str">
        <f t="shared" si="24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2"/>
        <v/>
      </c>
      <c r="Q225" s="139" t="str">
        <f t="shared" si="23"/>
        <v/>
      </c>
      <c r="AA225" s="139" t="s">
        <v>854</v>
      </c>
      <c r="AB225" s="139" t="s">
        <v>855</v>
      </c>
    </row>
    <row r="226" spans="1:28">
      <c r="A226" s="149"/>
      <c r="B226" s="144" t="str">
        <f t="shared" si="21"/>
        <v/>
      </c>
      <c r="C226" s="149"/>
      <c r="D226" s="144" t="str">
        <f t="shared" si="20"/>
        <v/>
      </c>
      <c r="E226" s="183"/>
      <c r="F226" s="144" t="str">
        <f t="shared" si="24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2"/>
        <v/>
      </c>
      <c r="Q226" s="139" t="str">
        <f t="shared" si="23"/>
        <v/>
      </c>
      <c r="AA226" s="139" t="s">
        <v>1505</v>
      </c>
      <c r="AB226" s="139" t="s">
        <v>1506</v>
      </c>
    </row>
    <row r="227" spans="1:28">
      <c r="A227" s="149"/>
      <c r="B227" s="144" t="str">
        <f t="shared" si="21"/>
        <v/>
      </c>
      <c r="C227" s="149"/>
      <c r="D227" s="144" t="str">
        <f t="shared" si="20"/>
        <v/>
      </c>
      <c r="E227" s="183"/>
      <c r="F227" s="144" t="str">
        <f t="shared" si="24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2"/>
        <v/>
      </c>
      <c r="Q227" s="139" t="str">
        <f t="shared" si="23"/>
        <v/>
      </c>
      <c r="AA227" s="139" t="s">
        <v>1507</v>
      </c>
      <c r="AB227" s="139" t="s">
        <v>1508</v>
      </c>
    </row>
    <row r="228" spans="1:28">
      <c r="A228" s="149"/>
      <c r="B228" s="144" t="str">
        <f t="shared" si="21"/>
        <v/>
      </c>
      <c r="C228" s="149"/>
      <c r="D228" s="144" t="str">
        <f t="shared" si="20"/>
        <v/>
      </c>
      <c r="E228" s="183"/>
      <c r="F228" s="144" t="str">
        <f t="shared" si="24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2"/>
        <v/>
      </c>
      <c r="Q228" s="139" t="str">
        <f t="shared" si="23"/>
        <v/>
      </c>
      <c r="AA228" s="139" t="s">
        <v>1509</v>
      </c>
      <c r="AB228" s="139" t="s">
        <v>1510</v>
      </c>
    </row>
    <row r="229" spans="1:28">
      <c r="A229" s="149"/>
      <c r="B229" s="144" t="str">
        <f t="shared" si="21"/>
        <v/>
      </c>
      <c r="C229" s="149"/>
      <c r="D229" s="144" t="str">
        <f t="shared" ref="D229:D292" si="25">IFERROR(VLOOKUP(C229,$U$5:$W$126,2,FALSE),"")</f>
        <v/>
      </c>
      <c r="E229" s="183"/>
      <c r="F229" s="144" t="str">
        <f t="shared" si="24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2"/>
        <v/>
      </c>
      <c r="Q229" s="139" t="str">
        <f t="shared" si="23"/>
        <v/>
      </c>
      <c r="AA229" s="139" t="s">
        <v>1511</v>
      </c>
      <c r="AB229" s="139" t="s">
        <v>1512</v>
      </c>
    </row>
    <row r="230" spans="1:28">
      <c r="A230" s="149"/>
      <c r="B230" s="144" t="str">
        <f t="shared" si="21"/>
        <v/>
      </c>
      <c r="C230" s="149"/>
      <c r="D230" s="144" t="str">
        <f t="shared" si="25"/>
        <v/>
      </c>
      <c r="E230" s="183"/>
      <c r="F230" s="144" t="str">
        <f t="shared" si="24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2"/>
        <v/>
      </c>
      <c r="Q230" s="139" t="str">
        <f t="shared" si="23"/>
        <v/>
      </c>
      <c r="AA230" s="139" t="s">
        <v>1513</v>
      </c>
      <c r="AB230" s="139" t="s">
        <v>1514</v>
      </c>
    </row>
    <row r="231" spans="1:28">
      <c r="A231" s="149"/>
      <c r="B231" s="144" t="str">
        <f t="shared" si="21"/>
        <v/>
      </c>
      <c r="C231" s="149"/>
      <c r="D231" s="144" t="str">
        <f t="shared" si="25"/>
        <v/>
      </c>
      <c r="E231" s="183"/>
      <c r="F231" s="144" t="str">
        <f t="shared" si="24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2"/>
        <v/>
      </c>
      <c r="Q231" s="139" t="str">
        <f t="shared" si="23"/>
        <v/>
      </c>
      <c r="AA231" s="139" t="s">
        <v>2470</v>
      </c>
      <c r="AB231" s="139" t="s">
        <v>2471</v>
      </c>
    </row>
    <row r="232" spans="1:28">
      <c r="A232" s="149"/>
      <c r="B232" s="144" t="str">
        <f t="shared" si="21"/>
        <v/>
      </c>
      <c r="C232" s="149"/>
      <c r="D232" s="144" t="str">
        <f t="shared" si="25"/>
        <v/>
      </c>
      <c r="E232" s="183"/>
      <c r="F232" s="144" t="str">
        <f t="shared" si="24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2"/>
        <v/>
      </c>
      <c r="Q232" s="139" t="str">
        <f t="shared" si="23"/>
        <v/>
      </c>
      <c r="AA232" s="139" t="s">
        <v>2472</v>
      </c>
      <c r="AB232" s="139" t="s">
        <v>2473</v>
      </c>
    </row>
    <row r="233" spans="1:28">
      <c r="A233" s="149"/>
      <c r="B233" s="144" t="str">
        <f t="shared" si="21"/>
        <v/>
      </c>
      <c r="C233" s="149"/>
      <c r="D233" s="144" t="str">
        <f t="shared" si="25"/>
        <v/>
      </c>
      <c r="E233" s="183"/>
      <c r="F233" s="144" t="str">
        <f t="shared" si="24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2"/>
        <v/>
      </c>
      <c r="Q233" s="139" t="str">
        <f t="shared" si="23"/>
        <v/>
      </c>
      <c r="AA233" s="139" t="s">
        <v>2474</v>
      </c>
      <c r="AB233" s="139" t="s">
        <v>2475</v>
      </c>
    </row>
    <row r="234" spans="1:28">
      <c r="A234" s="149"/>
      <c r="B234" s="144" t="str">
        <f t="shared" si="21"/>
        <v/>
      </c>
      <c r="C234" s="149"/>
      <c r="D234" s="144" t="str">
        <f t="shared" si="25"/>
        <v/>
      </c>
      <c r="E234" s="183"/>
      <c r="F234" s="144" t="str">
        <f t="shared" si="24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2"/>
        <v/>
      </c>
      <c r="Q234" s="139" t="str">
        <f t="shared" si="23"/>
        <v/>
      </c>
      <c r="AA234" s="139" t="s">
        <v>2476</v>
      </c>
      <c r="AB234" s="139" t="s">
        <v>2477</v>
      </c>
    </row>
    <row r="235" spans="1:28">
      <c r="A235" s="149"/>
      <c r="B235" s="144" t="str">
        <f t="shared" ref="B235:B298" si="26">IFERROR(VLOOKUP(A235,$R$8:$S$23,2,FALSE),"")</f>
        <v/>
      </c>
      <c r="C235" s="149"/>
      <c r="D235" s="144" t="str">
        <f t="shared" si="25"/>
        <v/>
      </c>
      <c r="E235" s="183"/>
      <c r="F235" s="144" t="str">
        <f t="shared" si="24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2"/>
        <v/>
      </c>
      <c r="Q235" s="139" t="str">
        <f t="shared" si="23"/>
        <v/>
      </c>
      <c r="AA235" s="139" t="s">
        <v>2478</v>
      </c>
      <c r="AB235" s="139" t="s">
        <v>2479</v>
      </c>
    </row>
    <row r="236" spans="1:28">
      <c r="A236" s="149"/>
      <c r="B236" s="144" t="str">
        <f t="shared" si="26"/>
        <v/>
      </c>
      <c r="C236" s="149"/>
      <c r="D236" s="144" t="str">
        <f t="shared" si="25"/>
        <v/>
      </c>
      <c r="E236" s="183"/>
      <c r="F236" s="144" t="str">
        <f t="shared" si="24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2"/>
        <v/>
      </c>
      <c r="Q236" s="139" t="str">
        <f t="shared" si="23"/>
        <v/>
      </c>
      <c r="AA236" s="139" t="s">
        <v>2480</v>
      </c>
      <c r="AB236" s="139" t="s">
        <v>2481</v>
      </c>
    </row>
    <row r="237" spans="1:28">
      <c r="A237" s="149"/>
      <c r="B237" s="144" t="str">
        <f t="shared" si="26"/>
        <v/>
      </c>
      <c r="C237" s="149"/>
      <c r="D237" s="144" t="str">
        <f t="shared" si="25"/>
        <v/>
      </c>
      <c r="E237" s="183"/>
      <c r="F237" s="144" t="str">
        <f t="shared" si="24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2"/>
        <v/>
      </c>
      <c r="Q237" s="139" t="str">
        <f t="shared" si="23"/>
        <v/>
      </c>
      <c r="AA237" s="139" t="s">
        <v>2482</v>
      </c>
      <c r="AB237" s="139" t="s">
        <v>2483</v>
      </c>
    </row>
    <row r="238" spans="1:28">
      <c r="A238" s="149"/>
      <c r="B238" s="144" t="str">
        <f t="shared" si="26"/>
        <v/>
      </c>
      <c r="C238" s="149"/>
      <c r="D238" s="144" t="str">
        <f t="shared" si="25"/>
        <v/>
      </c>
      <c r="E238" s="183"/>
      <c r="F238" s="144" t="str">
        <f t="shared" si="24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2"/>
        <v/>
      </c>
      <c r="Q238" s="139" t="str">
        <f t="shared" si="23"/>
        <v/>
      </c>
      <c r="AA238" s="139" t="s">
        <v>2484</v>
      </c>
      <c r="AB238" s="139" t="s">
        <v>2485</v>
      </c>
    </row>
    <row r="239" spans="1:28">
      <c r="A239" s="149"/>
      <c r="B239" s="144" t="str">
        <f t="shared" si="26"/>
        <v/>
      </c>
      <c r="C239" s="149"/>
      <c r="D239" s="144" t="str">
        <f t="shared" si="25"/>
        <v/>
      </c>
      <c r="E239" s="183"/>
      <c r="F239" s="144" t="str">
        <f t="shared" si="24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2"/>
        <v/>
      </c>
      <c r="Q239" s="139" t="str">
        <f t="shared" si="23"/>
        <v/>
      </c>
      <c r="AA239" s="139" t="s">
        <v>856</v>
      </c>
      <c r="AB239" s="139" t="s">
        <v>857</v>
      </c>
    </row>
    <row r="240" spans="1:28">
      <c r="A240" s="149"/>
      <c r="B240" s="144" t="str">
        <f t="shared" si="26"/>
        <v/>
      </c>
      <c r="C240" s="149"/>
      <c r="D240" s="144" t="str">
        <f t="shared" si="25"/>
        <v/>
      </c>
      <c r="E240" s="183"/>
      <c r="F240" s="144" t="str">
        <f t="shared" si="24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2"/>
        <v/>
      </c>
      <c r="Q240" s="139" t="str">
        <f t="shared" si="23"/>
        <v/>
      </c>
      <c r="AA240" s="139" t="s">
        <v>858</v>
      </c>
      <c r="AB240" s="139" t="s">
        <v>859</v>
      </c>
    </row>
    <row r="241" spans="1:28">
      <c r="A241" s="149"/>
      <c r="B241" s="144" t="str">
        <f t="shared" si="26"/>
        <v/>
      </c>
      <c r="C241" s="149"/>
      <c r="D241" s="144" t="str">
        <f t="shared" si="25"/>
        <v/>
      </c>
      <c r="E241" s="183"/>
      <c r="F241" s="144" t="str">
        <f t="shared" si="24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2"/>
        <v/>
      </c>
      <c r="Q241" s="139" t="str">
        <f t="shared" si="23"/>
        <v/>
      </c>
      <c r="AA241" s="139" t="s">
        <v>1515</v>
      </c>
      <c r="AB241" s="139" t="s">
        <v>1516</v>
      </c>
    </row>
    <row r="242" spans="1:28">
      <c r="A242" s="149"/>
      <c r="B242" s="144" t="str">
        <f t="shared" si="26"/>
        <v/>
      </c>
      <c r="C242" s="149"/>
      <c r="D242" s="144" t="str">
        <f t="shared" si="25"/>
        <v/>
      </c>
      <c r="E242" s="183"/>
      <c r="F242" s="144" t="str">
        <f t="shared" si="24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2"/>
        <v/>
      </c>
      <c r="Q242" s="139" t="str">
        <f t="shared" si="23"/>
        <v/>
      </c>
      <c r="AA242" s="139" t="s">
        <v>1517</v>
      </c>
      <c r="AB242" s="139" t="s">
        <v>1518</v>
      </c>
    </row>
    <row r="243" spans="1:28">
      <c r="A243" s="149"/>
      <c r="B243" s="144" t="str">
        <f t="shared" si="26"/>
        <v/>
      </c>
      <c r="C243" s="149"/>
      <c r="D243" s="144" t="str">
        <f t="shared" si="25"/>
        <v/>
      </c>
      <c r="E243" s="183"/>
      <c r="F243" s="144" t="str">
        <f t="shared" si="24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2"/>
        <v/>
      </c>
      <c r="Q243" s="139" t="str">
        <f t="shared" si="23"/>
        <v/>
      </c>
      <c r="AA243" s="139" t="s">
        <v>2486</v>
      </c>
      <c r="AB243" s="139" t="s">
        <v>2487</v>
      </c>
    </row>
    <row r="244" spans="1:28">
      <c r="A244" s="149"/>
      <c r="B244" s="144" t="str">
        <f t="shared" si="26"/>
        <v/>
      </c>
      <c r="C244" s="149"/>
      <c r="D244" s="144" t="str">
        <f t="shared" si="25"/>
        <v/>
      </c>
      <c r="E244" s="183"/>
      <c r="F244" s="144" t="str">
        <f t="shared" si="24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2"/>
        <v/>
      </c>
      <c r="Q244" s="139" t="str">
        <f t="shared" si="23"/>
        <v/>
      </c>
      <c r="AA244" s="139" t="s">
        <v>2488</v>
      </c>
      <c r="AB244" s="139" t="s">
        <v>2489</v>
      </c>
    </row>
    <row r="245" spans="1:28">
      <c r="A245" s="149"/>
      <c r="B245" s="144" t="str">
        <f t="shared" si="26"/>
        <v/>
      </c>
      <c r="C245" s="149"/>
      <c r="D245" s="144" t="str">
        <f t="shared" si="25"/>
        <v/>
      </c>
      <c r="E245" s="183"/>
      <c r="F245" s="144" t="str">
        <f t="shared" si="24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2"/>
        <v/>
      </c>
      <c r="Q245" s="139" t="str">
        <f t="shared" si="23"/>
        <v/>
      </c>
      <c r="AA245" s="139" t="s">
        <v>2490</v>
      </c>
      <c r="AB245" s="139" t="s">
        <v>2491</v>
      </c>
    </row>
    <row r="246" spans="1:28">
      <c r="A246" s="149"/>
      <c r="B246" s="144" t="str">
        <f t="shared" si="26"/>
        <v/>
      </c>
      <c r="C246" s="149"/>
      <c r="D246" s="144" t="str">
        <f t="shared" si="25"/>
        <v/>
      </c>
      <c r="E246" s="183"/>
      <c r="F246" s="144" t="str">
        <f t="shared" si="24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2"/>
        <v/>
      </c>
      <c r="Q246" s="139" t="str">
        <f t="shared" si="23"/>
        <v/>
      </c>
      <c r="AA246" s="139" t="s">
        <v>2492</v>
      </c>
      <c r="AB246" s="139" t="s">
        <v>2493</v>
      </c>
    </row>
    <row r="247" spans="1:28">
      <c r="A247" s="149"/>
      <c r="B247" s="144" t="str">
        <f t="shared" si="26"/>
        <v/>
      </c>
      <c r="C247" s="149"/>
      <c r="D247" s="144" t="str">
        <f t="shared" si="25"/>
        <v/>
      </c>
      <c r="E247" s="183"/>
      <c r="F247" s="144" t="str">
        <f t="shared" si="24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2"/>
        <v/>
      </c>
      <c r="Q247" s="139" t="str">
        <f t="shared" si="23"/>
        <v/>
      </c>
      <c r="AA247" s="139" t="s">
        <v>2494</v>
      </c>
      <c r="AB247" s="139" t="s">
        <v>2495</v>
      </c>
    </row>
    <row r="248" spans="1:28">
      <c r="A248" s="149"/>
      <c r="B248" s="144" t="str">
        <f t="shared" si="26"/>
        <v/>
      </c>
      <c r="C248" s="149"/>
      <c r="D248" s="144" t="str">
        <f t="shared" si="25"/>
        <v/>
      </c>
      <c r="E248" s="183"/>
      <c r="F248" s="144" t="str">
        <f t="shared" si="24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2"/>
        <v/>
      </c>
      <c r="Q248" s="139" t="str">
        <f t="shared" si="23"/>
        <v/>
      </c>
      <c r="AA248" s="139" t="s">
        <v>860</v>
      </c>
      <c r="AB248" s="139" t="s">
        <v>861</v>
      </c>
    </row>
    <row r="249" spans="1:28">
      <c r="A249" s="149"/>
      <c r="B249" s="144" t="str">
        <f t="shared" si="26"/>
        <v/>
      </c>
      <c r="C249" s="149"/>
      <c r="D249" s="144" t="str">
        <f t="shared" si="25"/>
        <v/>
      </c>
      <c r="E249" s="183"/>
      <c r="F249" s="144" t="str">
        <f t="shared" si="24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2"/>
        <v/>
      </c>
      <c r="Q249" s="139" t="str">
        <f t="shared" si="23"/>
        <v/>
      </c>
      <c r="AA249" s="139" t="s">
        <v>862</v>
      </c>
      <c r="AB249" s="139" t="s">
        <v>863</v>
      </c>
    </row>
    <row r="250" spans="1:28">
      <c r="A250" s="149"/>
      <c r="B250" s="144" t="str">
        <f t="shared" si="26"/>
        <v/>
      </c>
      <c r="C250" s="149"/>
      <c r="D250" s="144" t="str">
        <f t="shared" si="25"/>
        <v/>
      </c>
      <c r="E250" s="183"/>
      <c r="F250" s="144" t="str">
        <f t="shared" si="24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2"/>
        <v/>
      </c>
      <c r="Q250" s="139" t="str">
        <f t="shared" si="23"/>
        <v/>
      </c>
      <c r="AA250" s="139" t="s">
        <v>864</v>
      </c>
      <c r="AB250" s="139" t="s">
        <v>865</v>
      </c>
    </row>
    <row r="251" spans="1:28">
      <c r="A251" s="149"/>
      <c r="B251" s="144" t="str">
        <f t="shared" si="26"/>
        <v/>
      </c>
      <c r="C251" s="149"/>
      <c r="D251" s="144" t="str">
        <f t="shared" si="25"/>
        <v/>
      </c>
      <c r="E251" s="183"/>
      <c r="F251" s="144" t="str">
        <f t="shared" si="24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2"/>
        <v/>
      </c>
      <c r="Q251" s="139" t="str">
        <f t="shared" si="23"/>
        <v/>
      </c>
      <c r="AA251" s="139" t="s">
        <v>2496</v>
      </c>
      <c r="AB251" s="139" t="s">
        <v>2497</v>
      </c>
    </row>
    <row r="252" spans="1:28">
      <c r="A252" s="149"/>
      <c r="B252" s="144" t="str">
        <f t="shared" si="26"/>
        <v/>
      </c>
      <c r="C252" s="149"/>
      <c r="D252" s="144" t="str">
        <f t="shared" si="25"/>
        <v/>
      </c>
      <c r="E252" s="183"/>
      <c r="F252" s="144" t="str">
        <f t="shared" si="24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2"/>
        <v/>
      </c>
      <c r="Q252" s="139" t="str">
        <f t="shared" si="23"/>
        <v/>
      </c>
      <c r="AA252" s="139" t="s">
        <v>2498</v>
      </c>
      <c r="AB252" s="139" t="s">
        <v>2499</v>
      </c>
    </row>
    <row r="253" spans="1:28">
      <c r="A253" s="149"/>
      <c r="B253" s="144" t="str">
        <f t="shared" si="26"/>
        <v/>
      </c>
      <c r="C253" s="149"/>
      <c r="D253" s="144" t="str">
        <f t="shared" si="25"/>
        <v/>
      </c>
      <c r="E253" s="183"/>
      <c r="F253" s="144" t="str">
        <f t="shared" si="24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2"/>
        <v/>
      </c>
      <c r="Q253" s="139" t="str">
        <f t="shared" si="23"/>
        <v/>
      </c>
      <c r="AA253" s="139" t="s">
        <v>2500</v>
      </c>
      <c r="AB253" s="139" t="s">
        <v>2501</v>
      </c>
    </row>
    <row r="254" spans="1:28">
      <c r="A254" s="149"/>
      <c r="B254" s="144" t="str">
        <f t="shared" si="26"/>
        <v/>
      </c>
      <c r="C254" s="149"/>
      <c r="D254" s="144" t="str">
        <f t="shared" si="25"/>
        <v/>
      </c>
      <c r="E254" s="183"/>
      <c r="F254" s="144" t="str">
        <f t="shared" si="24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2"/>
        <v/>
      </c>
      <c r="Q254" s="139" t="str">
        <f t="shared" si="23"/>
        <v/>
      </c>
      <c r="AA254" s="139" t="s">
        <v>2502</v>
      </c>
      <c r="AB254" s="139" t="s">
        <v>2503</v>
      </c>
    </row>
    <row r="255" spans="1:28">
      <c r="A255" s="149"/>
      <c r="B255" s="144" t="str">
        <f t="shared" si="26"/>
        <v/>
      </c>
      <c r="C255" s="149"/>
      <c r="D255" s="144" t="str">
        <f t="shared" si="25"/>
        <v/>
      </c>
      <c r="E255" s="183"/>
      <c r="F255" s="144" t="str">
        <f t="shared" si="24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2"/>
        <v/>
      </c>
      <c r="Q255" s="139" t="str">
        <f t="shared" si="23"/>
        <v/>
      </c>
      <c r="AA255" s="139" t="s">
        <v>2504</v>
      </c>
      <c r="AB255" s="139" t="s">
        <v>2505</v>
      </c>
    </row>
    <row r="256" spans="1:28">
      <c r="A256" s="149"/>
      <c r="B256" s="144" t="str">
        <f t="shared" si="26"/>
        <v/>
      </c>
      <c r="C256" s="149"/>
      <c r="D256" s="144" t="str">
        <f t="shared" si="25"/>
        <v/>
      </c>
      <c r="E256" s="183"/>
      <c r="F256" s="144" t="str">
        <f t="shared" si="24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2"/>
        <v/>
      </c>
      <c r="Q256" s="139" t="str">
        <f t="shared" si="23"/>
        <v/>
      </c>
      <c r="AA256" s="139" t="s">
        <v>2506</v>
      </c>
      <c r="AB256" s="139" t="s">
        <v>2507</v>
      </c>
    </row>
    <row r="257" spans="1:28">
      <c r="A257" s="149"/>
      <c r="B257" s="144" t="str">
        <f t="shared" si="26"/>
        <v/>
      </c>
      <c r="C257" s="149"/>
      <c r="D257" s="144" t="str">
        <f t="shared" si="25"/>
        <v/>
      </c>
      <c r="E257" s="183"/>
      <c r="F257" s="144" t="str">
        <f t="shared" si="24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ref="P257:P320" si="27">LEFT(C257,3)</f>
        <v/>
      </c>
      <c r="Q257" s="139" t="str">
        <f t="shared" ref="Q257:Q320" si="28">LEFT(C257,2)</f>
        <v/>
      </c>
      <c r="AA257" s="139" t="s">
        <v>2508</v>
      </c>
      <c r="AB257" s="139" t="s">
        <v>2509</v>
      </c>
    </row>
    <row r="258" spans="1:28">
      <c r="A258" s="149"/>
      <c r="B258" s="144" t="str">
        <f t="shared" si="26"/>
        <v/>
      </c>
      <c r="C258" s="149"/>
      <c r="D258" s="144" t="str">
        <f t="shared" si="25"/>
        <v/>
      </c>
      <c r="E258" s="183"/>
      <c r="F258" s="144" t="str">
        <f t="shared" si="24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7"/>
        <v/>
      </c>
      <c r="Q258" s="139" t="str">
        <f t="shared" si="28"/>
        <v/>
      </c>
      <c r="AA258" s="139" t="s">
        <v>2510</v>
      </c>
      <c r="AB258" s="139" t="s">
        <v>2511</v>
      </c>
    </row>
    <row r="259" spans="1:28">
      <c r="A259" s="149"/>
      <c r="B259" s="144" t="str">
        <f t="shared" si="26"/>
        <v/>
      </c>
      <c r="C259" s="149"/>
      <c r="D259" s="144" t="str">
        <f t="shared" si="25"/>
        <v/>
      </c>
      <c r="E259" s="183"/>
      <c r="F259" s="144" t="str">
        <f t="shared" si="24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7"/>
        <v/>
      </c>
      <c r="Q259" s="139" t="str">
        <f t="shared" si="28"/>
        <v/>
      </c>
      <c r="AA259" s="139" t="s">
        <v>2512</v>
      </c>
      <c r="AB259" s="139" t="s">
        <v>2513</v>
      </c>
    </row>
    <row r="260" spans="1:28">
      <c r="A260" s="149"/>
      <c r="B260" s="144" t="str">
        <f t="shared" si="26"/>
        <v/>
      </c>
      <c r="C260" s="149"/>
      <c r="D260" s="144" t="str">
        <f t="shared" si="25"/>
        <v/>
      </c>
      <c r="E260" s="183"/>
      <c r="F260" s="144" t="str">
        <f t="shared" si="24"/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si="27"/>
        <v/>
      </c>
      <c r="Q260" s="139" t="str">
        <f t="shared" si="28"/>
        <v/>
      </c>
      <c r="AA260" s="139" t="s">
        <v>2514</v>
      </c>
      <c r="AB260" s="139" t="s">
        <v>2515</v>
      </c>
    </row>
    <row r="261" spans="1:28">
      <c r="A261" s="149"/>
      <c r="B261" s="144" t="str">
        <f t="shared" si="26"/>
        <v/>
      </c>
      <c r="C261" s="149"/>
      <c r="D261" s="144" t="str">
        <f t="shared" si="25"/>
        <v/>
      </c>
      <c r="E261" s="183"/>
      <c r="F261" s="144" t="str">
        <f t="shared" si="24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7"/>
        <v/>
      </c>
      <c r="Q261" s="139" t="str">
        <f t="shared" si="28"/>
        <v/>
      </c>
      <c r="AA261" s="139" t="s">
        <v>2516</v>
      </c>
      <c r="AB261" s="139" t="s">
        <v>2517</v>
      </c>
    </row>
    <row r="262" spans="1:28">
      <c r="A262" s="149"/>
      <c r="B262" s="144" t="str">
        <f t="shared" si="26"/>
        <v/>
      </c>
      <c r="C262" s="149"/>
      <c r="D262" s="144" t="str">
        <f t="shared" si="25"/>
        <v/>
      </c>
      <c r="E262" s="183"/>
      <c r="F262" s="144" t="str">
        <f t="shared" si="24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7"/>
        <v/>
      </c>
      <c r="Q262" s="139" t="str">
        <f t="shared" si="28"/>
        <v/>
      </c>
      <c r="AA262" s="139" t="s">
        <v>2518</v>
      </c>
      <c r="AB262" s="139" t="s">
        <v>2519</v>
      </c>
    </row>
    <row r="263" spans="1:28">
      <c r="A263" s="149"/>
      <c r="B263" s="144" t="str">
        <f t="shared" si="26"/>
        <v/>
      </c>
      <c r="C263" s="149"/>
      <c r="D263" s="144" t="str">
        <f t="shared" si="25"/>
        <v/>
      </c>
      <c r="E263" s="183"/>
      <c r="F263" s="144" t="str">
        <f t="shared" si="24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7"/>
        <v/>
      </c>
      <c r="Q263" s="139" t="str">
        <f t="shared" si="28"/>
        <v/>
      </c>
      <c r="AA263" s="139" t="s">
        <v>866</v>
      </c>
      <c r="AB263" s="139" t="s">
        <v>867</v>
      </c>
    </row>
    <row r="264" spans="1:28">
      <c r="A264" s="149"/>
      <c r="B264" s="144" t="str">
        <f t="shared" si="26"/>
        <v/>
      </c>
      <c r="C264" s="149"/>
      <c r="D264" s="144" t="str">
        <f t="shared" si="25"/>
        <v/>
      </c>
      <c r="E264" s="183"/>
      <c r="F264" s="144" t="str">
        <f t="shared" ref="F264:F327" si="29">IFERROR(VLOOKUP(E264,$AA$8:$AB$1015,2,FALSE),"")</f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7"/>
        <v/>
      </c>
      <c r="Q264" s="139" t="str">
        <f t="shared" si="28"/>
        <v/>
      </c>
      <c r="AA264" s="139" t="s">
        <v>868</v>
      </c>
      <c r="AB264" s="139" t="s">
        <v>869</v>
      </c>
    </row>
    <row r="265" spans="1:28">
      <c r="A265" s="149"/>
      <c r="B265" s="144" t="str">
        <f t="shared" si="26"/>
        <v/>
      </c>
      <c r="C265" s="149"/>
      <c r="D265" s="144" t="str">
        <f t="shared" si="25"/>
        <v/>
      </c>
      <c r="E265" s="183"/>
      <c r="F265" s="144" t="str">
        <f t="shared" si="29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7"/>
        <v/>
      </c>
      <c r="Q265" s="139" t="str">
        <f t="shared" si="28"/>
        <v/>
      </c>
      <c r="AA265" s="139" t="s">
        <v>870</v>
      </c>
      <c r="AB265" s="139" t="s">
        <v>871</v>
      </c>
    </row>
    <row r="266" spans="1:28">
      <c r="A266" s="149"/>
      <c r="B266" s="144" t="str">
        <f t="shared" si="26"/>
        <v/>
      </c>
      <c r="C266" s="149"/>
      <c r="D266" s="144" t="str">
        <f t="shared" si="25"/>
        <v/>
      </c>
      <c r="E266" s="183"/>
      <c r="F266" s="144" t="str">
        <f t="shared" si="29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7"/>
        <v/>
      </c>
      <c r="Q266" s="139" t="str">
        <f t="shared" si="28"/>
        <v/>
      </c>
      <c r="AA266" s="139" t="s">
        <v>872</v>
      </c>
      <c r="AB266" s="139" t="s">
        <v>873</v>
      </c>
    </row>
    <row r="267" spans="1:28">
      <c r="A267" s="149"/>
      <c r="B267" s="144" t="str">
        <f t="shared" si="26"/>
        <v/>
      </c>
      <c r="C267" s="149"/>
      <c r="D267" s="144" t="str">
        <f t="shared" si="25"/>
        <v/>
      </c>
      <c r="E267" s="183"/>
      <c r="F267" s="144" t="str">
        <f t="shared" si="29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7"/>
        <v/>
      </c>
      <c r="Q267" s="139" t="str">
        <f t="shared" si="28"/>
        <v/>
      </c>
      <c r="AA267" s="139" t="s">
        <v>874</v>
      </c>
      <c r="AB267" s="139" t="s">
        <v>875</v>
      </c>
    </row>
    <row r="268" spans="1:28">
      <c r="A268" s="149"/>
      <c r="B268" s="144" t="str">
        <f t="shared" si="26"/>
        <v/>
      </c>
      <c r="C268" s="149"/>
      <c r="D268" s="144" t="str">
        <f t="shared" si="25"/>
        <v/>
      </c>
      <c r="E268" s="183"/>
      <c r="F268" s="144" t="str">
        <f t="shared" si="29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7"/>
        <v/>
      </c>
      <c r="Q268" s="139" t="str">
        <f t="shared" si="28"/>
        <v/>
      </c>
      <c r="AA268" s="139" t="s">
        <v>876</v>
      </c>
      <c r="AB268" s="139" t="s">
        <v>877</v>
      </c>
    </row>
    <row r="269" spans="1:28">
      <c r="A269" s="149"/>
      <c r="B269" s="144" t="str">
        <f t="shared" si="26"/>
        <v/>
      </c>
      <c r="C269" s="149"/>
      <c r="D269" s="144" t="str">
        <f t="shared" si="25"/>
        <v/>
      </c>
      <c r="E269" s="183"/>
      <c r="F269" s="144" t="str">
        <f t="shared" si="29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7"/>
        <v/>
      </c>
      <c r="Q269" s="139" t="str">
        <f t="shared" si="28"/>
        <v/>
      </c>
      <c r="AA269" s="139" t="s">
        <v>878</v>
      </c>
      <c r="AB269" s="139" t="s">
        <v>879</v>
      </c>
    </row>
    <row r="270" spans="1:28">
      <c r="A270" s="149"/>
      <c r="B270" s="144" t="str">
        <f t="shared" si="26"/>
        <v/>
      </c>
      <c r="C270" s="149"/>
      <c r="D270" s="144" t="str">
        <f t="shared" si="25"/>
        <v/>
      </c>
      <c r="E270" s="183"/>
      <c r="F270" s="144" t="str">
        <f t="shared" si="29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7"/>
        <v/>
      </c>
      <c r="Q270" s="139" t="str">
        <f t="shared" si="28"/>
        <v/>
      </c>
      <c r="AA270" s="139" t="s">
        <v>880</v>
      </c>
      <c r="AB270" s="139" t="s">
        <v>881</v>
      </c>
    </row>
    <row r="271" spans="1:28">
      <c r="A271" s="149"/>
      <c r="B271" s="144" t="str">
        <f t="shared" si="26"/>
        <v/>
      </c>
      <c r="C271" s="149"/>
      <c r="D271" s="144" t="str">
        <f t="shared" si="25"/>
        <v/>
      </c>
      <c r="E271" s="183"/>
      <c r="F271" s="144" t="str">
        <f t="shared" si="29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7"/>
        <v/>
      </c>
      <c r="Q271" s="139" t="str">
        <f t="shared" si="28"/>
        <v/>
      </c>
      <c r="AA271" s="139" t="s">
        <v>882</v>
      </c>
      <c r="AB271" s="139" t="s">
        <v>883</v>
      </c>
    </row>
    <row r="272" spans="1:28">
      <c r="A272" s="149"/>
      <c r="B272" s="144" t="str">
        <f t="shared" si="26"/>
        <v/>
      </c>
      <c r="C272" s="149"/>
      <c r="D272" s="144" t="str">
        <f t="shared" si="25"/>
        <v/>
      </c>
      <c r="E272" s="183"/>
      <c r="F272" s="144" t="str">
        <f t="shared" si="29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7"/>
        <v/>
      </c>
      <c r="Q272" s="139" t="str">
        <f t="shared" si="28"/>
        <v/>
      </c>
      <c r="AA272" s="139" t="s">
        <v>884</v>
      </c>
      <c r="AB272" s="139" t="s">
        <v>885</v>
      </c>
    </row>
    <row r="273" spans="1:28">
      <c r="A273" s="149"/>
      <c r="B273" s="144" t="str">
        <f t="shared" si="26"/>
        <v/>
      </c>
      <c r="C273" s="149"/>
      <c r="D273" s="144" t="str">
        <f t="shared" si="25"/>
        <v/>
      </c>
      <c r="E273" s="183"/>
      <c r="F273" s="144" t="str">
        <f t="shared" si="29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7"/>
        <v/>
      </c>
      <c r="Q273" s="139" t="str">
        <f t="shared" si="28"/>
        <v/>
      </c>
      <c r="AA273" s="139" t="s">
        <v>886</v>
      </c>
      <c r="AB273" s="139" t="s">
        <v>887</v>
      </c>
    </row>
    <row r="274" spans="1:28">
      <c r="A274" s="149"/>
      <c r="B274" s="144" t="str">
        <f t="shared" si="26"/>
        <v/>
      </c>
      <c r="C274" s="149"/>
      <c r="D274" s="144" t="str">
        <f t="shared" si="25"/>
        <v/>
      </c>
      <c r="E274" s="183"/>
      <c r="F274" s="144" t="str">
        <f t="shared" si="29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7"/>
        <v/>
      </c>
      <c r="Q274" s="139" t="str">
        <f t="shared" si="28"/>
        <v/>
      </c>
      <c r="AA274" s="139" t="s">
        <v>888</v>
      </c>
      <c r="AB274" s="139" t="s">
        <v>889</v>
      </c>
    </row>
    <row r="275" spans="1:28">
      <c r="A275" s="149"/>
      <c r="B275" s="144" t="str">
        <f t="shared" si="26"/>
        <v/>
      </c>
      <c r="C275" s="149"/>
      <c r="D275" s="144" t="str">
        <f t="shared" si="25"/>
        <v/>
      </c>
      <c r="E275" s="183"/>
      <c r="F275" s="144" t="str">
        <f t="shared" si="29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7"/>
        <v/>
      </c>
      <c r="Q275" s="139" t="str">
        <f t="shared" si="28"/>
        <v/>
      </c>
      <c r="AA275" s="139" t="s">
        <v>890</v>
      </c>
      <c r="AB275" s="139" t="s">
        <v>891</v>
      </c>
    </row>
    <row r="276" spans="1:28">
      <c r="A276" s="149"/>
      <c r="B276" s="144" t="str">
        <f t="shared" si="26"/>
        <v/>
      </c>
      <c r="C276" s="149"/>
      <c r="D276" s="144" t="str">
        <f t="shared" si="25"/>
        <v/>
      </c>
      <c r="E276" s="183"/>
      <c r="F276" s="144" t="str">
        <f t="shared" si="29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7"/>
        <v/>
      </c>
      <c r="Q276" s="139" t="str">
        <f t="shared" si="28"/>
        <v/>
      </c>
      <c r="AA276" s="139" t="s">
        <v>892</v>
      </c>
      <c r="AB276" s="139" t="s">
        <v>893</v>
      </c>
    </row>
    <row r="277" spans="1:28">
      <c r="A277" s="149"/>
      <c r="B277" s="144" t="str">
        <f t="shared" si="26"/>
        <v/>
      </c>
      <c r="C277" s="149"/>
      <c r="D277" s="144" t="str">
        <f t="shared" si="25"/>
        <v/>
      </c>
      <c r="E277" s="183"/>
      <c r="F277" s="144" t="str">
        <f t="shared" si="29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7"/>
        <v/>
      </c>
      <c r="Q277" s="139" t="str">
        <f t="shared" si="28"/>
        <v/>
      </c>
      <c r="AA277" s="139" t="s">
        <v>894</v>
      </c>
      <c r="AB277" s="139" t="s">
        <v>895</v>
      </c>
    </row>
    <row r="278" spans="1:28">
      <c r="A278" s="149"/>
      <c r="B278" s="144" t="str">
        <f t="shared" si="26"/>
        <v/>
      </c>
      <c r="C278" s="149"/>
      <c r="D278" s="144" t="str">
        <f t="shared" si="25"/>
        <v/>
      </c>
      <c r="E278" s="183"/>
      <c r="F278" s="144" t="str">
        <f t="shared" si="29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7"/>
        <v/>
      </c>
      <c r="Q278" s="139" t="str">
        <f t="shared" si="28"/>
        <v/>
      </c>
      <c r="AA278" s="139" t="s">
        <v>896</v>
      </c>
      <c r="AB278" s="139" t="s">
        <v>897</v>
      </c>
    </row>
    <row r="279" spans="1:28">
      <c r="A279" s="149"/>
      <c r="B279" s="144" t="str">
        <f t="shared" si="26"/>
        <v/>
      </c>
      <c r="C279" s="149"/>
      <c r="D279" s="144" t="str">
        <f t="shared" si="25"/>
        <v/>
      </c>
      <c r="E279" s="183"/>
      <c r="F279" s="144" t="str">
        <f t="shared" si="29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7"/>
        <v/>
      </c>
      <c r="Q279" s="139" t="str">
        <f t="shared" si="28"/>
        <v/>
      </c>
      <c r="AA279" s="139" t="s">
        <v>898</v>
      </c>
      <c r="AB279" s="139" t="s">
        <v>899</v>
      </c>
    </row>
    <row r="280" spans="1:28">
      <c r="A280" s="149"/>
      <c r="B280" s="144" t="str">
        <f t="shared" si="26"/>
        <v/>
      </c>
      <c r="C280" s="149"/>
      <c r="D280" s="144" t="str">
        <f t="shared" si="25"/>
        <v/>
      </c>
      <c r="E280" s="183"/>
      <c r="F280" s="144" t="str">
        <f t="shared" si="29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7"/>
        <v/>
      </c>
      <c r="Q280" s="139" t="str">
        <f t="shared" si="28"/>
        <v/>
      </c>
      <c r="AA280" s="139" t="s">
        <v>900</v>
      </c>
      <c r="AB280" s="139" t="s">
        <v>901</v>
      </c>
    </row>
    <row r="281" spans="1:28">
      <c r="A281" s="149"/>
      <c r="B281" s="144" t="str">
        <f t="shared" si="26"/>
        <v/>
      </c>
      <c r="C281" s="149"/>
      <c r="D281" s="144" t="str">
        <f t="shared" si="25"/>
        <v/>
      </c>
      <c r="E281" s="183"/>
      <c r="F281" s="144" t="str">
        <f t="shared" si="29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7"/>
        <v/>
      </c>
      <c r="Q281" s="139" t="str">
        <f t="shared" si="28"/>
        <v/>
      </c>
      <c r="AA281" s="139" t="s">
        <v>902</v>
      </c>
      <c r="AB281" s="139" t="s">
        <v>903</v>
      </c>
    </row>
    <row r="282" spans="1:28">
      <c r="A282" s="149"/>
      <c r="B282" s="144" t="str">
        <f t="shared" si="26"/>
        <v/>
      </c>
      <c r="C282" s="149"/>
      <c r="D282" s="144" t="str">
        <f t="shared" si="25"/>
        <v/>
      </c>
      <c r="E282" s="183"/>
      <c r="F282" s="144" t="str">
        <f t="shared" si="29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7"/>
        <v/>
      </c>
      <c r="Q282" s="139" t="str">
        <f t="shared" si="28"/>
        <v/>
      </c>
      <c r="AA282" s="139" t="s">
        <v>904</v>
      </c>
      <c r="AB282" s="139" t="s">
        <v>905</v>
      </c>
    </row>
    <row r="283" spans="1:28">
      <c r="A283" s="149"/>
      <c r="B283" s="144" t="str">
        <f t="shared" si="26"/>
        <v/>
      </c>
      <c r="C283" s="149"/>
      <c r="D283" s="144" t="str">
        <f t="shared" si="25"/>
        <v/>
      </c>
      <c r="E283" s="183"/>
      <c r="F283" s="144" t="str">
        <f t="shared" si="29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7"/>
        <v/>
      </c>
      <c r="Q283" s="139" t="str">
        <f t="shared" si="28"/>
        <v/>
      </c>
      <c r="AA283" s="139" t="s">
        <v>906</v>
      </c>
      <c r="AB283" s="139" t="s">
        <v>907</v>
      </c>
    </row>
    <row r="284" spans="1:28">
      <c r="A284" s="149"/>
      <c r="B284" s="144" t="str">
        <f t="shared" si="26"/>
        <v/>
      </c>
      <c r="C284" s="149"/>
      <c r="D284" s="144" t="str">
        <f t="shared" si="25"/>
        <v/>
      </c>
      <c r="E284" s="183"/>
      <c r="F284" s="144" t="str">
        <f t="shared" si="29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7"/>
        <v/>
      </c>
      <c r="Q284" s="139" t="str">
        <f t="shared" si="28"/>
        <v/>
      </c>
      <c r="AA284" s="139" t="s">
        <v>908</v>
      </c>
      <c r="AB284" s="139" t="s">
        <v>909</v>
      </c>
    </row>
    <row r="285" spans="1:28">
      <c r="A285" s="149"/>
      <c r="B285" s="144" t="str">
        <f t="shared" si="26"/>
        <v/>
      </c>
      <c r="C285" s="149"/>
      <c r="D285" s="144" t="str">
        <f t="shared" si="25"/>
        <v/>
      </c>
      <c r="E285" s="183"/>
      <c r="F285" s="144" t="str">
        <f t="shared" si="29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7"/>
        <v/>
      </c>
      <c r="Q285" s="139" t="str">
        <f t="shared" si="28"/>
        <v/>
      </c>
      <c r="AA285" s="139" t="s">
        <v>910</v>
      </c>
      <c r="AB285" s="139" t="s">
        <v>909</v>
      </c>
    </row>
    <row r="286" spans="1:28">
      <c r="A286" s="149"/>
      <c r="B286" s="144" t="str">
        <f t="shared" si="26"/>
        <v/>
      </c>
      <c r="C286" s="149"/>
      <c r="D286" s="144" t="str">
        <f t="shared" si="25"/>
        <v/>
      </c>
      <c r="E286" s="183"/>
      <c r="F286" s="144" t="str">
        <f t="shared" si="29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7"/>
        <v/>
      </c>
      <c r="Q286" s="139" t="str">
        <f t="shared" si="28"/>
        <v/>
      </c>
      <c r="AA286" s="139" t="s">
        <v>911</v>
      </c>
      <c r="AB286" s="139" t="s">
        <v>912</v>
      </c>
    </row>
    <row r="287" spans="1:28">
      <c r="A287" s="149"/>
      <c r="B287" s="144" t="str">
        <f t="shared" si="26"/>
        <v/>
      </c>
      <c r="C287" s="149"/>
      <c r="D287" s="144" t="str">
        <f t="shared" si="25"/>
        <v/>
      </c>
      <c r="E287" s="183"/>
      <c r="F287" s="144" t="str">
        <f t="shared" si="29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7"/>
        <v/>
      </c>
      <c r="Q287" s="139" t="str">
        <f t="shared" si="28"/>
        <v/>
      </c>
      <c r="AA287" s="139" t="s">
        <v>913</v>
      </c>
      <c r="AB287" s="139" t="s">
        <v>912</v>
      </c>
    </row>
    <row r="288" spans="1:28">
      <c r="A288" s="149"/>
      <c r="B288" s="144" t="str">
        <f t="shared" si="26"/>
        <v/>
      </c>
      <c r="C288" s="149"/>
      <c r="D288" s="144" t="str">
        <f t="shared" si="25"/>
        <v/>
      </c>
      <c r="E288" s="183"/>
      <c r="F288" s="144" t="str">
        <f t="shared" si="29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7"/>
        <v/>
      </c>
      <c r="Q288" s="139" t="str">
        <f t="shared" si="28"/>
        <v/>
      </c>
      <c r="AA288" s="139" t="s">
        <v>1519</v>
      </c>
      <c r="AB288" s="139" t="s">
        <v>1520</v>
      </c>
    </row>
    <row r="289" spans="1:28">
      <c r="A289" s="149"/>
      <c r="B289" s="144" t="str">
        <f t="shared" si="26"/>
        <v/>
      </c>
      <c r="C289" s="149"/>
      <c r="D289" s="144" t="str">
        <f t="shared" si="25"/>
        <v/>
      </c>
      <c r="E289" s="183"/>
      <c r="F289" s="144" t="str">
        <f t="shared" si="29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7"/>
        <v/>
      </c>
      <c r="Q289" s="139" t="str">
        <f t="shared" si="28"/>
        <v/>
      </c>
      <c r="AA289" s="139" t="s">
        <v>1521</v>
      </c>
      <c r="AB289" s="139" t="s">
        <v>1522</v>
      </c>
    </row>
    <row r="290" spans="1:28">
      <c r="A290" s="149"/>
      <c r="B290" s="144" t="str">
        <f t="shared" si="26"/>
        <v/>
      </c>
      <c r="C290" s="149"/>
      <c r="D290" s="144" t="str">
        <f t="shared" si="25"/>
        <v/>
      </c>
      <c r="E290" s="183"/>
      <c r="F290" s="144" t="str">
        <f t="shared" si="29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7"/>
        <v/>
      </c>
      <c r="Q290" s="139" t="str">
        <f t="shared" si="28"/>
        <v/>
      </c>
      <c r="AA290" s="139" t="s">
        <v>1523</v>
      </c>
      <c r="AB290" s="139" t="s">
        <v>1524</v>
      </c>
    </row>
    <row r="291" spans="1:28">
      <c r="A291" s="149"/>
      <c r="B291" s="144" t="str">
        <f t="shared" si="26"/>
        <v/>
      </c>
      <c r="C291" s="149"/>
      <c r="D291" s="144" t="str">
        <f t="shared" si="25"/>
        <v/>
      </c>
      <c r="E291" s="183"/>
      <c r="F291" s="144" t="str">
        <f t="shared" si="29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7"/>
        <v/>
      </c>
      <c r="Q291" s="139" t="str">
        <f t="shared" si="28"/>
        <v/>
      </c>
      <c r="AA291" s="139" t="s">
        <v>1525</v>
      </c>
      <c r="AB291" s="139" t="s">
        <v>1526</v>
      </c>
    </row>
    <row r="292" spans="1:28">
      <c r="A292" s="149"/>
      <c r="B292" s="144" t="str">
        <f t="shared" si="26"/>
        <v/>
      </c>
      <c r="C292" s="149"/>
      <c r="D292" s="144" t="str">
        <f t="shared" si="25"/>
        <v/>
      </c>
      <c r="E292" s="183"/>
      <c r="F292" s="144" t="str">
        <f t="shared" si="29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7"/>
        <v/>
      </c>
      <c r="Q292" s="139" t="str">
        <f t="shared" si="28"/>
        <v/>
      </c>
      <c r="AA292" s="139" t="s">
        <v>1527</v>
      </c>
      <c r="AB292" s="139" t="s">
        <v>1528</v>
      </c>
    </row>
    <row r="293" spans="1:28">
      <c r="A293" s="149"/>
      <c r="B293" s="144" t="str">
        <f t="shared" si="26"/>
        <v/>
      </c>
      <c r="C293" s="149"/>
      <c r="D293" s="144" t="str">
        <f t="shared" ref="D293:D356" si="30">IFERROR(VLOOKUP(C293,$U$5:$W$126,2,FALSE),"")</f>
        <v/>
      </c>
      <c r="E293" s="183"/>
      <c r="F293" s="144" t="str">
        <f t="shared" si="29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7"/>
        <v/>
      </c>
      <c r="Q293" s="139" t="str">
        <f t="shared" si="28"/>
        <v/>
      </c>
      <c r="AA293" s="139" t="s">
        <v>1529</v>
      </c>
      <c r="AB293" s="139" t="s">
        <v>1530</v>
      </c>
    </row>
    <row r="294" spans="1:28">
      <c r="A294" s="149"/>
      <c r="B294" s="144" t="str">
        <f t="shared" si="26"/>
        <v/>
      </c>
      <c r="C294" s="149"/>
      <c r="D294" s="144" t="str">
        <f t="shared" si="30"/>
        <v/>
      </c>
      <c r="E294" s="183"/>
      <c r="F294" s="144" t="str">
        <f t="shared" si="29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7"/>
        <v/>
      </c>
      <c r="Q294" s="139" t="str">
        <f t="shared" si="28"/>
        <v/>
      </c>
      <c r="AA294" s="139" t="s">
        <v>1531</v>
      </c>
      <c r="AB294" s="139" t="s">
        <v>1532</v>
      </c>
    </row>
    <row r="295" spans="1:28">
      <c r="A295" s="149"/>
      <c r="B295" s="144" t="str">
        <f t="shared" si="26"/>
        <v/>
      </c>
      <c r="C295" s="149"/>
      <c r="D295" s="144" t="str">
        <f t="shared" si="30"/>
        <v/>
      </c>
      <c r="E295" s="183"/>
      <c r="F295" s="144" t="str">
        <f t="shared" si="29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7"/>
        <v/>
      </c>
      <c r="Q295" s="139" t="str">
        <f t="shared" si="28"/>
        <v/>
      </c>
      <c r="AA295" s="139" t="s">
        <v>1533</v>
      </c>
      <c r="AB295" s="139" t="s">
        <v>1534</v>
      </c>
    </row>
    <row r="296" spans="1:28">
      <c r="A296" s="149"/>
      <c r="B296" s="144" t="str">
        <f t="shared" si="26"/>
        <v/>
      </c>
      <c r="C296" s="149"/>
      <c r="D296" s="144" t="str">
        <f t="shared" si="30"/>
        <v/>
      </c>
      <c r="E296" s="183"/>
      <c r="F296" s="144" t="str">
        <f t="shared" si="29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7"/>
        <v/>
      </c>
      <c r="Q296" s="139" t="str">
        <f t="shared" si="28"/>
        <v/>
      </c>
      <c r="AA296" s="139" t="s">
        <v>1535</v>
      </c>
      <c r="AB296" s="139" t="s">
        <v>1536</v>
      </c>
    </row>
    <row r="297" spans="1:28">
      <c r="A297" s="149"/>
      <c r="B297" s="144" t="str">
        <f t="shared" si="26"/>
        <v/>
      </c>
      <c r="C297" s="149"/>
      <c r="D297" s="144" t="str">
        <f t="shared" si="30"/>
        <v/>
      </c>
      <c r="E297" s="183"/>
      <c r="F297" s="144" t="str">
        <f t="shared" si="29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7"/>
        <v/>
      </c>
      <c r="Q297" s="139" t="str">
        <f t="shared" si="28"/>
        <v/>
      </c>
      <c r="AA297" s="139" t="s">
        <v>1537</v>
      </c>
      <c r="AB297" s="139" t="s">
        <v>1538</v>
      </c>
    </row>
    <row r="298" spans="1:28">
      <c r="A298" s="149"/>
      <c r="B298" s="144" t="str">
        <f t="shared" si="26"/>
        <v/>
      </c>
      <c r="C298" s="149"/>
      <c r="D298" s="144" t="str">
        <f t="shared" si="30"/>
        <v/>
      </c>
      <c r="E298" s="183"/>
      <c r="F298" s="144" t="str">
        <f t="shared" si="29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7"/>
        <v/>
      </c>
      <c r="Q298" s="139" t="str">
        <f t="shared" si="28"/>
        <v/>
      </c>
      <c r="AA298" s="139" t="s">
        <v>1539</v>
      </c>
      <c r="AB298" s="139" t="s">
        <v>1540</v>
      </c>
    </row>
    <row r="299" spans="1:28">
      <c r="A299" s="149"/>
      <c r="B299" s="144" t="str">
        <f t="shared" ref="B299:B362" si="31">IFERROR(VLOOKUP(A299,$R$8:$S$23,2,FALSE),"")</f>
        <v/>
      </c>
      <c r="C299" s="149"/>
      <c r="D299" s="144" t="str">
        <f t="shared" si="30"/>
        <v/>
      </c>
      <c r="E299" s="183"/>
      <c r="F299" s="144" t="str">
        <f t="shared" si="29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7"/>
        <v/>
      </c>
      <c r="Q299" s="139" t="str">
        <f t="shared" si="28"/>
        <v/>
      </c>
      <c r="AA299" s="139" t="s">
        <v>1541</v>
      </c>
      <c r="AB299" s="139" t="s">
        <v>1542</v>
      </c>
    </row>
    <row r="300" spans="1:28">
      <c r="A300" s="149"/>
      <c r="B300" s="144" t="str">
        <f t="shared" si="31"/>
        <v/>
      </c>
      <c r="C300" s="149"/>
      <c r="D300" s="144" t="str">
        <f t="shared" si="30"/>
        <v/>
      </c>
      <c r="E300" s="183"/>
      <c r="F300" s="144" t="str">
        <f t="shared" si="29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7"/>
        <v/>
      </c>
      <c r="Q300" s="139" t="str">
        <f t="shared" si="28"/>
        <v/>
      </c>
      <c r="AA300" s="139" t="s">
        <v>1543</v>
      </c>
      <c r="AB300" s="139" t="s">
        <v>1544</v>
      </c>
    </row>
    <row r="301" spans="1:28">
      <c r="A301" s="149"/>
      <c r="B301" s="144" t="str">
        <f t="shared" si="31"/>
        <v/>
      </c>
      <c r="C301" s="149"/>
      <c r="D301" s="144" t="str">
        <f t="shared" si="30"/>
        <v/>
      </c>
      <c r="E301" s="183"/>
      <c r="F301" s="144" t="str">
        <f t="shared" si="29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7"/>
        <v/>
      </c>
      <c r="Q301" s="139" t="str">
        <f t="shared" si="28"/>
        <v/>
      </c>
      <c r="AA301" s="139" t="s">
        <v>1545</v>
      </c>
      <c r="AB301" s="139" t="s">
        <v>1546</v>
      </c>
    </row>
    <row r="302" spans="1:28">
      <c r="A302" s="149"/>
      <c r="B302" s="144" t="str">
        <f t="shared" si="31"/>
        <v/>
      </c>
      <c r="C302" s="149"/>
      <c r="D302" s="144" t="str">
        <f t="shared" si="30"/>
        <v/>
      </c>
      <c r="E302" s="183"/>
      <c r="F302" s="144" t="str">
        <f t="shared" si="29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7"/>
        <v/>
      </c>
      <c r="Q302" s="139" t="str">
        <f t="shared" si="28"/>
        <v/>
      </c>
      <c r="AA302" s="139" t="s">
        <v>1547</v>
      </c>
      <c r="AB302" s="139" t="s">
        <v>1548</v>
      </c>
    </row>
    <row r="303" spans="1:28">
      <c r="A303" s="149"/>
      <c r="B303" s="144" t="str">
        <f t="shared" si="31"/>
        <v/>
      </c>
      <c r="C303" s="149"/>
      <c r="D303" s="144" t="str">
        <f t="shared" si="30"/>
        <v/>
      </c>
      <c r="E303" s="183"/>
      <c r="F303" s="144" t="str">
        <f t="shared" si="29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7"/>
        <v/>
      </c>
      <c r="Q303" s="139" t="str">
        <f t="shared" si="28"/>
        <v/>
      </c>
      <c r="AA303" s="139" t="s">
        <v>1549</v>
      </c>
      <c r="AB303" s="139" t="s">
        <v>1550</v>
      </c>
    </row>
    <row r="304" spans="1:28">
      <c r="A304" s="149"/>
      <c r="B304" s="144" t="str">
        <f t="shared" si="31"/>
        <v/>
      </c>
      <c r="C304" s="149"/>
      <c r="D304" s="144" t="str">
        <f t="shared" si="30"/>
        <v/>
      </c>
      <c r="E304" s="183"/>
      <c r="F304" s="144" t="str">
        <f t="shared" si="29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7"/>
        <v/>
      </c>
      <c r="Q304" s="139" t="str">
        <f t="shared" si="28"/>
        <v/>
      </c>
      <c r="AA304" s="139" t="s">
        <v>1551</v>
      </c>
      <c r="AB304" s="139" t="s">
        <v>1552</v>
      </c>
    </row>
    <row r="305" spans="1:28">
      <c r="A305" s="149"/>
      <c r="B305" s="144" t="str">
        <f t="shared" si="31"/>
        <v/>
      </c>
      <c r="C305" s="149"/>
      <c r="D305" s="144" t="str">
        <f t="shared" si="30"/>
        <v/>
      </c>
      <c r="E305" s="183"/>
      <c r="F305" s="144" t="str">
        <f t="shared" si="29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7"/>
        <v/>
      </c>
      <c r="Q305" s="139" t="str">
        <f t="shared" si="28"/>
        <v/>
      </c>
      <c r="AA305" s="139" t="s">
        <v>1553</v>
      </c>
      <c r="AB305" s="139" t="s">
        <v>1554</v>
      </c>
    </row>
    <row r="306" spans="1:28">
      <c r="A306" s="149"/>
      <c r="B306" s="144" t="str">
        <f t="shared" si="31"/>
        <v/>
      </c>
      <c r="C306" s="149"/>
      <c r="D306" s="144" t="str">
        <f t="shared" si="30"/>
        <v/>
      </c>
      <c r="E306" s="183"/>
      <c r="F306" s="144" t="str">
        <f t="shared" si="29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7"/>
        <v/>
      </c>
      <c r="Q306" s="139" t="str">
        <f t="shared" si="28"/>
        <v/>
      </c>
      <c r="AA306" s="139" t="s">
        <v>1555</v>
      </c>
      <c r="AB306" s="139" t="s">
        <v>1556</v>
      </c>
    </row>
    <row r="307" spans="1:28">
      <c r="A307" s="149"/>
      <c r="B307" s="144" t="str">
        <f t="shared" si="31"/>
        <v/>
      </c>
      <c r="C307" s="149"/>
      <c r="D307" s="144" t="str">
        <f t="shared" si="30"/>
        <v/>
      </c>
      <c r="E307" s="183"/>
      <c r="F307" s="144" t="str">
        <f t="shared" si="29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7"/>
        <v/>
      </c>
      <c r="Q307" s="139" t="str">
        <f t="shared" si="28"/>
        <v/>
      </c>
      <c r="AA307" s="139" t="s">
        <v>1557</v>
      </c>
      <c r="AB307" s="139" t="s">
        <v>1558</v>
      </c>
    </row>
    <row r="308" spans="1:28">
      <c r="A308" s="149"/>
      <c r="B308" s="144" t="str">
        <f t="shared" si="31"/>
        <v/>
      </c>
      <c r="C308" s="149"/>
      <c r="D308" s="144" t="str">
        <f t="shared" si="30"/>
        <v/>
      </c>
      <c r="E308" s="183"/>
      <c r="F308" s="144" t="str">
        <f t="shared" si="29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7"/>
        <v/>
      </c>
      <c r="Q308" s="139" t="str">
        <f t="shared" si="28"/>
        <v/>
      </c>
      <c r="AA308" s="139" t="s">
        <v>1559</v>
      </c>
      <c r="AB308" s="139" t="s">
        <v>1560</v>
      </c>
    </row>
    <row r="309" spans="1:28">
      <c r="A309" s="149"/>
      <c r="B309" s="144" t="str">
        <f t="shared" si="31"/>
        <v/>
      </c>
      <c r="C309" s="149"/>
      <c r="D309" s="144" t="str">
        <f t="shared" si="30"/>
        <v/>
      </c>
      <c r="E309" s="183"/>
      <c r="F309" s="144" t="str">
        <f t="shared" si="29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7"/>
        <v/>
      </c>
      <c r="Q309" s="139" t="str">
        <f t="shared" si="28"/>
        <v/>
      </c>
      <c r="AA309" s="139" t="s">
        <v>1561</v>
      </c>
      <c r="AB309" s="139" t="s">
        <v>1562</v>
      </c>
    </row>
    <row r="310" spans="1:28">
      <c r="A310" s="149"/>
      <c r="B310" s="144" t="str">
        <f t="shared" si="31"/>
        <v/>
      </c>
      <c r="C310" s="149"/>
      <c r="D310" s="144" t="str">
        <f t="shared" si="30"/>
        <v/>
      </c>
      <c r="E310" s="183"/>
      <c r="F310" s="144" t="str">
        <f t="shared" si="29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7"/>
        <v/>
      </c>
      <c r="Q310" s="139" t="str">
        <f t="shared" si="28"/>
        <v/>
      </c>
      <c r="AA310" s="139" t="s">
        <v>1563</v>
      </c>
      <c r="AB310" s="139" t="s">
        <v>1564</v>
      </c>
    </row>
    <row r="311" spans="1:28">
      <c r="A311" s="149"/>
      <c r="B311" s="144" t="str">
        <f t="shared" si="31"/>
        <v/>
      </c>
      <c r="C311" s="149"/>
      <c r="D311" s="144" t="str">
        <f t="shared" si="30"/>
        <v/>
      </c>
      <c r="E311" s="183"/>
      <c r="F311" s="144" t="str">
        <f t="shared" si="29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7"/>
        <v/>
      </c>
      <c r="Q311" s="139" t="str">
        <f t="shared" si="28"/>
        <v/>
      </c>
      <c r="AA311" s="139" t="s">
        <v>1565</v>
      </c>
      <c r="AB311" s="139" t="s">
        <v>1566</v>
      </c>
    </row>
    <row r="312" spans="1:28">
      <c r="A312" s="149"/>
      <c r="B312" s="144" t="str">
        <f t="shared" si="31"/>
        <v/>
      </c>
      <c r="C312" s="149"/>
      <c r="D312" s="144" t="str">
        <f t="shared" si="30"/>
        <v/>
      </c>
      <c r="E312" s="183"/>
      <c r="F312" s="144" t="str">
        <f t="shared" si="29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7"/>
        <v/>
      </c>
      <c r="Q312" s="139" t="str">
        <f t="shared" si="28"/>
        <v/>
      </c>
      <c r="AA312" s="139" t="s">
        <v>1567</v>
      </c>
      <c r="AB312" s="139" t="s">
        <v>1568</v>
      </c>
    </row>
    <row r="313" spans="1:28">
      <c r="A313" s="149"/>
      <c r="B313" s="144" t="str">
        <f t="shared" si="31"/>
        <v/>
      </c>
      <c r="C313" s="149"/>
      <c r="D313" s="144" t="str">
        <f t="shared" si="30"/>
        <v/>
      </c>
      <c r="E313" s="183"/>
      <c r="F313" s="144" t="str">
        <f t="shared" si="29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7"/>
        <v/>
      </c>
      <c r="Q313" s="139" t="str">
        <f t="shared" si="28"/>
        <v/>
      </c>
      <c r="AA313" s="139" t="s">
        <v>1569</v>
      </c>
      <c r="AB313" s="139" t="s">
        <v>1570</v>
      </c>
    </row>
    <row r="314" spans="1:28">
      <c r="A314" s="149"/>
      <c r="B314" s="144" t="str">
        <f t="shared" si="31"/>
        <v/>
      </c>
      <c r="C314" s="149"/>
      <c r="D314" s="144" t="str">
        <f t="shared" si="30"/>
        <v/>
      </c>
      <c r="E314" s="183"/>
      <c r="F314" s="144" t="str">
        <f t="shared" si="29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7"/>
        <v/>
      </c>
      <c r="Q314" s="139" t="str">
        <f t="shared" si="28"/>
        <v/>
      </c>
      <c r="AA314" s="139" t="s">
        <v>1571</v>
      </c>
      <c r="AB314" s="139" t="s">
        <v>1572</v>
      </c>
    </row>
    <row r="315" spans="1:28">
      <c r="A315" s="149"/>
      <c r="B315" s="144" t="str">
        <f t="shared" si="31"/>
        <v/>
      </c>
      <c r="C315" s="149"/>
      <c r="D315" s="144" t="str">
        <f t="shared" si="30"/>
        <v/>
      </c>
      <c r="E315" s="183"/>
      <c r="F315" s="144" t="str">
        <f t="shared" si="29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7"/>
        <v/>
      </c>
      <c r="Q315" s="139" t="str">
        <f t="shared" si="28"/>
        <v/>
      </c>
      <c r="AA315" s="139" t="s">
        <v>1573</v>
      </c>
      <c r="AB315" s="139" t="s">
        <v>1574</v>
      </c>
    </row>
    <row r="316" spans="1:28">
      <c r="A316" s="149"/>
      <c r="B316" s="144" t="str">
        <f t="shared" si="31"/>
        <v/>
      </c>
      <c r="C316" s="149"/>
      <c r="D316" s="144" t="str">
        <f t="shared" si="30"/>
        <v/>
      </c>
      <c r="E316" s="183"/>
      <c r="F316" s="144" t="str">
        <f t="shared" si="29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7"/>
        <v/>
      </c>
      <c r="Q316" s="139" t="str">
        <f t="shared" si="28"/>
        <v/>
      </c>
      <c r="AA316" s="139" t="s">
        <v>1575</v>
      </c>
      <c r="AB316" s="139" t="s">
        <v>1576</v>
      </c>
    </row>
    <row r="317" spans="1:28">
      <c r="A317" s="149"/>
      <c r="B317" s="144" t="str">
        <f t="shared" si="31"/>
        <v/>
      </c>
      <c r="C317" s="149"/>
      <c r="D317" s="144" t="str">
        <f t="shared" si="30"/>
        <v/>
      </c>
      <c r="E317" s="183"/>
      <c r="F317" s="144" t="str">
        <f t="shared" si="29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7"/>
        <v/>
      </c>
      <c r="Q317" s="139" t="str">
        <f t="shared" si="28"/>
        <v/>
      </c>
      <c r="AA317" s="139" t="s">
        <v>1577</v>
      </c>
      <c r="AB317" s="139" t="s">
        <v>1578</v>
      </c>
    </row>
    <row r="318" spans="1:28">
      <c r="A318" s="149"/>
      <c r="B318" s="144" t="str">
        <f t="shared" si="31"/>
        <v/>
      </c>
      <c r="C318" s="149"/>
      <c r="D318" s="144" t="str">
        <f t="shared" si="30"/>
        <v/>
      </c>
      <c r="E318" s="183"/>
      <c r="F318" s="144" t="str">
        <f t="shared" si="29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7"/>
        <v/>
      </c>
      <c r="Q318" s="139" t="str">
        <f t="shared" si="28"/>
        <v/>
      </c>
      <c r="AA318" s="139" t="s">
        <v>1579</v>
      </c>
      <c r="AB318" s="139" t="s">
        <v>1580</v>
      </c>
    </row>
    <row r="319" spans="1:28">
      <c r="A319" s="149"/>
      <c r="B319" s="144" t="str">
        <f t="shared" si="31"/>
        <v/>
      </c>
      <c r="C319" s="149"/>
      <c r="D319" s="144" t="str">
        <f t="shared" si="30"/>
        <v/>
      </c>
      <c r="E319" s="183"/>
      <c r="F319" s="144" t="str">
        <f t="shared" si="29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7"/>
        <v/>
      </c>
      <c r="Q319" s="139" t="str">
        <f t="shared" si="28"/>
        <v/>
      </c>
      <c r="AA319" s="139" t="s">
        <v>2520</v>
      </c>
      <c r="AB319" s="139" t="s">
        <v>2521</v>
      </c>
    </row>
    <row r="320" spans="1:28">
      <c r="A320" s="149"/>
      <c r="B320" s="144" t="str">
        <f t="shared" si="31"/>
        <v/>
      </c>
      <c r="C320" s="149"/>
      <c r="D320" s="144" t="str">
        <f t="shared" si="30"/>
        <v/>
      </c>
      <c r="E320" s="183"/>
      <c r="F320" s="144" t="str">
        <f t="shared" si="29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7"/>
        <v/>
      </c>
      <c r="Q320" s="139" t="str">
        <f t="shared" si="28"/>
        <v/>
      </c>
      <c r="AA320" s="139" t="s">
        <v>2522</v>
      </c>
      <c r="AB320" s="139" t="s">
        <v>2523</v>
      </c>
    </row>
    <row r="321" spans="1:28">
      <c r="A321" s="149"/>
      <c r="B321" s="144" t="str">
        <f t="shared" si="31"/>
        <v/>
      </c>
      <c r="C321" s="149"/>
      <c r="D321" s="144" t="str">
        <f t="shared" si="30"/>
        <v/>
      </c>
      <c r="E321" s="183"/>
      <c r="F321" s="144" t="str">
        <f t="shared" si="29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ref="P321:P384" si="32">LEFT(C321,3)</f>
        <v/>
      </c>
      <c r="Q321" s="139" t="str">
        <f t="shared" ref="Q321:Q384" si="33">LEFT(C321,2)</f>
        <v/>
      </c>
      <c r="AA321" s="139" t="s">
        <v>2524</v>
      </c>
      <c r="AB321" s="139" t="s">
        <v>2525</v>
      </c>
    </row>
    <row r="322" spans="1:28">
      <c r="A322" s="149"/>
      <c r="B322" s="144" t="str">
        <f t="shared" si="31"/>
        <v/>
      </c>
      <c r="C322" s="149"/>
      <c r="D322" s="144" t="str">
        <f t="shared" si="30"/>
        <v/>
      </c>
      <c r="E322" s="183"/>
      <c r="F322" s="144" t="str">
        <f t="shared" si="29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32"/>
        <v/>
      </c>
      <c r="Q322" s="139" t="str">
        <f t="shared" si="33"/>
        <v/>
      </c>
      <c r="AA322" s="139" t="s">
        <v>2526</v>
      </c>
      <c r="AB322" s="139" t="s">
        <v>2527</v>
      </c>
    </row>
    <row r="323" spans="1:28">
      <c r="A323" s="149"/>
      <c r="B323" s="144" t="str">
        <f t="shared" si="31"/>
        <v/>
      </c>
      <c r="C323" s="149"/>
      <c r="D323" s="144" t="str">
        <f t="shared" si="30"/>
        <v/>
      </c>
      <c r="E323" s="183"/>
      <c r="F323" s="144" t="str">
        <f t="shared" si="29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32"/>
        <v/>
      </c>
      <c r="Q323" s="139" t="str">
        <f t="shared" si="33"/>
        <v/>
      </c>
      <c r="AA323" s="139" t="s">
        <v>2528</v>
      </c>
      <c r="AB323" s="139" t="s">
        <v>2529</v>
      </c>
    </row>
    <row r="324" spans="1:28">
      <c r="A324" s="149"/>
      <c r="B324" s="144" t="str">
        <f t="shared" si="31"/>
        <v/>
      </c>
      <c r="C324" s="149"/>
      <c r="D324" s="144" t="str">
        <f t="shared" si="30"/>
        <v/>
      </c>
      <c r="E324" s="183"/>
      <c r="F324" s="144" t="str">
        <f t="shared" si="29"/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si="32"/>
        <v/>
      </c>
      <c r="Q324" s="139" t="str">
        <f t="shared" si="33"/>
        <v/>
      </c>
      <c r="AA324" s="139" t="s">
        <v>2530</v>
      </c>
      <c r="AB324" s="139" t="s">
        <v>2531</v>
      </c>
    </row>
    <row r="325" spans="1:28">
      <c r="A325" s="149"/>
      <c r="B325" s="144" t="str">
        <f t="shared" si="31"/>
        <v/>
      </c>
      <c r="C325" s="149"/>
      <c r="D325" s="144" t="str">
        <f t="shared" si="30"/>
        <v/>
      </c>
      <c r="E325" s="183"/>
      <c r="F325" s="144" t="str">
        <f t="shared" si="29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2"/>
        <v/>
      </c>
      <c r="Q325" s="139" t="str">
        <f t="shared" si="33"/>
        <v/>
      </c>
      <c r="AA325" s="139" t="s">
        <v>2532</v>
      </c>
      <c r="AB325" s="139" t="s">
        <v>2533</v>
      </c>
    </row>
    <row r="326" spans="1:28">
      <c r="A326" s="149"/>
      <c r="B326" s="144" t="str">
        <f t="shared" si="31"/>
        <v/>
      </c>
      <c r="C326" s="149"/>
      <c r="D326" s="144" t="str">
        <f t="shared" si="30"/>
        <v/>
      </c>
      <c r="E326" s="183"/>
      <c r="F326" s="144" t="str">
        <f t="shared" si="29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2"/>
        <v/>
      </c>
      <c r="Q326" s="139" t="str">
        <f t="shared" si="33"/>
        <v/>
      </c>
      <c r="AA326" s="139" t="s">
        <v>2534</v>
      </c>
      <c r="AB326" s="139" t="s">
        <v>2535</v>
      </c>
    </row>
    <row r="327" spans="1:28">
      <c r="A327" s="149"/>
      <c r="B327" s="144" t="str">
        <f t="shared" si="31"/>
        <v/>
      </c>
      <c r="C327" s="149"/>
      <c r="D327" s="144" t="str">
        <f t="shared" si="30"/>
        <v/>
      </c>
      <c r="E327" s="183"/>
      <c r="F327" s="144" t="str">
        <f t="shared" si="29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2"/>
        <v/>
      </c>
      <c r="Q327" s="139" t="str">
        <f t="shared" si="33"/>
        <v/>
      </c>
      <c r="AA327" s="139" t="s">
        <v>2536</v>
      </c>
      <c r="AB327" s="139" t="s">
        <v>2537</v>
      </c>
    </row>
    <row r="328" spans="1:28">
      <c r="A328" s="149"/>
      <c r="B328" s="144" t="str">
        <f t="shared" si="31"/>
        <v/>
      </c>
      <c r="C328" s="149"/>
      <c r="D328" s="144" t="str">
        <f t="shared" si="30"/>
        <v/>
      </c>
      <c r="E328" s="183"/>
      <c r="F328" s="144" t="str">
        <f t="shared" ref="F328:F391" si="34">IFERROR(VLOOKUP(E328,$AA$8:$AB$1015,2,FALSE),"")</f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2"/>
        <v/>
      </c>
      <c r="Q328" s="139" t="str">
        <f t="shared" si="33"/>
        <v/>
      </c>
      <c r="AA328" s="139" t="s">
        <v>2538</v>
      </c>
      <c r="AB328" s="139" t="s">
        <v>2539</v>
      </c>
    </row>
    <row r="329" spans="1:28">
      <c r="A329" s="149"/>
      <c r="B329" s="144" t="str">
        <f t="shared" si="31"/>
        <v/>
      </c>
      <c r="C329" s="149"/>
      <c r="D329" s="144" t="str">
        <f t="shared" si="30"/>
        <v/>
      </c>
      <c r="E329" s="183"/>
      <c r="F329" s="144" t="str">
        <f t="shared" si="34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2"/>
        <v/>
      </c>
      <c r="Q329" s="139" t="str">
        <f t="shared" si="33"/>
        <v/>
      </c>
      <c r="AA329" s="139" t="s">
        <v>2540</v>
      </c>
      <c r="AB329" s="139" t="s">
        <v>2541</v>
      </c>
    </row>
    <row r="330" spans="1:28">
      <c r="A330" s="149"/>
      <c r="B330" s="144" t="str">
        <f t="shared" si="31"/>
        <v/>
      </c>
      <c r="C330" s="149"/>
      <c r="D330" s="144" t="str">
        <f t="shared" si="30"/>
        <v/>
      </c>
      <c r="E330" s="183"/>
      <c r="F330" s="144" t="str">
        <f t="shared" si="34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2"/>
        <v/>
      </c>
      <c r="Q330" s="139" t="str">
        <f t="shared" si="33"/>
        <v/>
      </c>
      <c r="AA330" s="139" t="s">
        <v>2542</v>
      </c>
      <c r="AB330" s="139" t="s">
        <v>2543</v>
      </c>
    </row>
    <row r="331" spans="1:28">
      <c r="A331" s="149"/>
      <c r="B331" s="144" t="str">
        <f t="shared" si="31"/>
        <v/>
      </c>
      <c r="C331" s="149"/>
      <c r="D331" s="144" t="str">
        <f t="shared" si="30"/>
        <v/>
      </c>
      <c r="E331" s="183"/>
      <c r="F331" s="144" t="str">
        <f t="shared" si="34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2"/>
        <v/>
      </c>
      <c r="Q331" s="139" t="str">
        <f t="shared" si="33"/>
        <v/>
      </c>
      <c r="AA331" s="139" t="s">
        <v>2544</v>
      </c>
      <c r="AB331" s="139" t="s">
        <v>2545</v>
      </c>
    </row>
    <row r="332" spans="1:28">
      <c r="A332" s="149"/>
      <c r="B332" s="144" t="str">
        <f t="shared" si="31"/>
        <v/>
      </c>
      <c r="C332" s="149"/>
      <c r="D332" s="144" t="str">
        <f t="shared" si="30"/>
        <v/>
      </c>
      <c r="E332" s="183"/>
      <c r="F332" s="144" t="str">
        <f t="shared" si="34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2"/>
        <v/>
      </c>
      <c r="Q332" s="139" t="str">
        <f t="shared" si="33"/>
        <v/>
      </c>
      <c r="AA332" s="139" t="s">
        <v>2546</v>
      </c>
      <c r="AB332" s="139" t="s">
        <v>2547</v>
      </c>
    </row>
    <row r="333" spans="1:28">
      <c r="A333" s="149"/>
      <c r="B333" s="144" t="str">
        <f t="shared" si="31"/>
        <v/>
      </c>
      <c r="C333" s="149"/>
      <c r="D333" s="144" t="str">
        <f t="shared" si="30"/>
        <v/>
      </c>
      <c r="E333" s="183"/>
      <c r="F333" s="144" t="str">
        <f t="shared" si="34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2"/>
        <v/>
      </c>
      <c r="Q333" s="139" t="str">
        <f t="shared" si="33"/>
        <v/>
      </c>
      <c r="AA333" s="139" t="s">
        <v>2548</v>
      </c>
      <c r="AB333" s="139" t="s">
        <v>2549</v>
      </c>
    </row>
    <row r="334" spans="1:28">
      <c r="A334" s="149"/>
      <c r="B334" s="144" t="str">
        <f t="shared" si="31"/>
        <v/>
      </c>
      <c r="C334" s="149"/>
      <c r="D334" s="144" t="str">
        <f t="shared" si="30"/>
        <v/>
      </c>
      <c r="E334" s="183"/>
      <c r="F334" s="144" t="str">
        <f t="shared" si="34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2"/>
        <v/>
      </c>
      <c r="Q334" s="139" t="str">
        <f t="shared" si="33"/>
        <v/>
      </c>
      <c r="AA334" s="139" t="s">
        <v>2550</v>
      </c>
      <c r="AB334" s="139" t="s">
        <v>2551</v>
      </c>
    </row>
    <row r="335" spans="1:28">
      <c r="A335" s="149"/>
      <c r="B335" s="144" t="str">
        <f t="shared" si="31"/>
        <v/>
      </c>
      <c r="C335" s="149"/>
      <c r="D335" s="144" t="str">
        <f t="shared" si="30"/>
        <v/>
      </c>
      <c r="E335" s="183"/>
      <c r="F335" s="144" t="str">
        <f t="shared" si="34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2"/>
        <v/>
      </c>
      <c r="Q335" s="139" t="str">
        <f t="shared" si="33"/>
        <v/>
      </c>
      <c r="AA335" s="139" t="s">
        <v>2552</v>
      </c>
      <c r="AB335" s="139" t="s">
        <v>2553</v>
      </c>
    </row>
    <row r="336" spans="1:28">
      <c r="A336" s="149"/>
      <c r="B336" s="144" t="str">
        <f t="shared" si="31"/>
        <v/>
      </c>
      <c r="C336" s="149"/>
      <c r="D336" s="144" t="str">
        <f t="shared" si="30"/>
        <v/>
      </c>
      <c r="E336" s="183"/>
      <c r="F336" s="144" t="str">
        <f t="shared" si="34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2"/>
        <v/>
      </c>
      <c r="Q336" s="139" t="str">
        <f t="shared" si="33"/>
        <v/>
      </c>
      <c r="AA336" s="139" t="s">
        <v>2554</v>
      </c>
      <c r="AB336" s="139" t="s">
        <v>2555</v>
      </c>
    </row>
    <row r="337" spans="1:28">
      <c r="A337" s="149"/>
      <c r="B337" s="144" t="str">
        <f t="shared" si="31"/>
        <v/>
      </c>
      <c r="C337" s="149"/>
      <c r="D337" s="144" t="str">
        <f t="shared" si="30"/>
        <v/>
      </c>
      <c r="E337" s="183"/>
      <c r="F337" s="144" t="str">
        <f t="shared" si="34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2"/>
        <v/>
      </c>
      <c r="Q337" s="139" t="str">
        <f t="shared" si="33"/>
        <v/>
      </c>
      <c r="AA337" s="139" t="s">
        <v>2556</v>
      </c>
      <c r="AB337" s="139" t="s">
        <v>2557</v>
      </c>
    </row>
    <row r="338" spans="1:28">
      <c r="A338" s="149"/>
      <c r="B338" s="144" t="str">
        <f t="shared" si="31"/>
        <v/>
      </c>
      <c r="C338" s="149"/>
      <c r="D338" s="144" t="str">
        <f t="shared" si="30"/>
        <v/>
      </c>
      <c r="E338" s="183"/>
      <c r="F338" s="144" t="str">
        <f t="shared" si="34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2"/>
        <v/>
      </c>
      <c r="Q338" s="139" t="str">
        <f t="shared" si="33"/>
        <v/>
      </c>
      <c r="AA338" s="139" t="s">
        <v>2558</v>
      </c>
      <c r="AB338" s="139" t="s">
        <v>2559</v>
      </c>
    </row>
    <row r="339" spans="1:28">
      <c r="A339" s="149"/>
      <c r="B339" s="144" t="str">
        <f t="shared" si="31"/>
        <v/>
      </c>
      <c r="C339" s="149"/>
      <c r="D339" s="144" t="str">
        <f t="shared" si="30"/>
        <v/>
      </c>
      <c r="E339" s="183"/>
      <c r="F339" s="144" t="str">
        <f t="shared" si="34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2"/>
        <v/>
      </c>
      <c r="Q339" s="139" t="str">
        <f t="shared" si="33"/>
        <v/>
      </c>
      <c r="AA339" s="139" t="s">
        <v>2560</v>
      </c>
      <c r="AB339" s="139" t="s">
        <v>2561</v>
      </c>
    </row>
    <row r="340" spans="1:28">
      <c r="A340" s="149"/>
      <c r="B340" s="144" t="str">
        <f t="shared" si="31"/>
        <v/>
      </c>
      <c r="C340" s="149"/>
      <c r="D340" s="144" t="str">
        <f t="shared" si="30"/>
        <v/>
      </c>
      <c r="E340" s="183"/>
      <c r="F340" s="144" t="str">
        <f t="shared" si="34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2"/>
        <v/>
      </c>
      <c r="Q340" s="139" t="str">
        <f t="shared" si="33"/>
        <v/>
      </c>
      <c r="AA340" s="139" t="s">
        <v>2562</v>
      </c>
      <c r="AB340" s="139" t="s">
        <v>2563</v>
      </c>
    </row>
    <row r="341" spans="1:28">
      <c r="A341" s="149"/>
      <c r="B341" s="144" t="str">
        <f t="shared" si="31"/>
        <v/>
      </c>
      <c r="C341" s="149"/>
      <c r="D341" s="144" t="str">
        <f t="shared" si="30"/>
        <v/>
      </c>
      <c r="E341" s="183"/>
      <c r="F341" s="144" t="str">
        <f t="shared" si="34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2"/>
        <v/>
      </c>
      <c r="Q341" s="139" t="str">
        <f t="shared" si="33"/>
        <v/>
      </c>
      <c r="AA341" s="139" t="s">
        <v>2564</v>
      </c>
      <c r="AB341" s="139" t="s">
        <v>2565</v>
      </c>
    </row>
    <row r="342" spans="1:28">
      <c r="A342" s="149"/>
      <c r="B342" s="144" t="str">
        <f t="shared" si="31"/>
        <v/>
      </c>
      <c r="C342" s="149"/>
      <c r="D342" s="144" t="str">
        <f t="shared" si="30"/>
        <v/>
      </c>
      <c r="E342" s="183"/>
      <c r="F342" s="144" t="str">
        <f t="shared" si="34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2"/>
        <v/>
      </c>
      <c r="Q342" s="139" t="str">
        <f t="shared" si="33"/>
        <v/>
      </c>
      <c r="AA342" s="139" t="s">
        <v>2566</v>
      </c>
      <c r="AB342" s="139" t="s">
        <v>2567</v>
      </c>
    </row>
    <row r="343" spans="1:28">
      <c r="A343" s="149"/>
      <c r="B343" s="144" t="str">
        <f t="shared" si="31"/>
        <v/>
      </c>
      <c r="C343" s="149"/>
      <c r="D343" s="144" t="str">
        <f t="shared" si="30"/>
        <v/>
      </c>
      <c r="E343" s="183"/>
      <c r="F343" s="144" t="str">
        <f t="shared" si="34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2"/>
        <v/>
      </c>
      <c r="Q343" s="139" t="str">
        <f t="shared" si="33"/>
        <v/>
      </c>
      <c r="AA343" s="139" t="s">
        <v>2568</v>
      </c>
      <c r="AB343" s="139" t="s">
        <v>2569</v>
      </c>
    </row>
    <row r="344" spans="1:28">
      <c r="A344" s="149"/>
      <c r="B344" s="144" t="str">
        <f t="shared" si="31"/>
        <v/>
      </c>
      <c r="C344" s="149"/>
      <c r="D344" s="144" t="str">
        <f t="shared" si="30"/>
        <v/>
      </c>
      <c r="E344" s="183"/>
      <c r="F344" s="144" t="str">
        <f t="shared" si="34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2"/>
        <v/>
      </c>
      <c r="Q344" s="139" t="str">
        <f t="shared" si="33"/>
        <v/>
      </c>
      <c r="AA344" s="139" t="s">
        <v>2570</v>
      </c>
      <c r="AB344" s="139" t="s">
        <v>2571</v>
      </c>
    </row>
    <row r="345" spans="1:28">
      <c r="A345" s="149"/>
      <c r="B345" s="144" t="str">
        <f t="shared" si="31"/>
        <v/>
      </c>
      <c r="C345" s="149"/>
      <c r="D345" s="144" t="str">
        <f t="shared" si="30"/>
        <v/>
      </c>
      <c r="E345" s="183"/>
      <c r="F345" s="144" t="str">
        <f t="shared" si="34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2"/>
        <v/>
      </c>
      <c r="Q345" s="139" t="str">
        <f t="shared" si="33"/>
        <v/>
      </c>
      <c r="AA345" s="139" t="s">
        <v>2572</v>
      </c>
      <c r="AB345" s="139" t="s">
        <v>2573</v>
      </c>
    </row>
    <row r="346" spans="1:28">
      <c r="A346" s="149"/>
      <c r="B346" s="144" t="str">
        <f t="shared" si="31"/>
        <v/>
      </c>
      <c r="C346" s="149"/>
      <c r="D346" s="144" t="str">
        <f t="shared" si="30"/>
        <v/>
      </c>
      <c r="E346" s="183"/>
      <c r="F346" s="144" t="str">
        <f t="shared" si="34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2"/>
        <v/>
      </c>
      <c r="Q346" s="139" t="str">
        <f t="shared" si="33"/>
        <v/>
      </c>
      <c r="AA346" s="139" t="s">
        <v>2574</v>
      </c>
      <c r="AB346" s="139" t="s">
        <v>2575</v>
      </c>
    </row>
    <row r="347" spans="1:28">
      <c r="A347" s="149"/>
      <c r="B347" s="144" t="str">
        <f t="shared" si="31"/>
        <v/>
      </c>
      <c r="C347" s="149"/>
      <c r="D347" s="144" t="str">
        <f t="shared" si="30"/>
        <v/>
      </c>
      <c r="E347" s="183"/>
      <c r="F347" s="144" t="str">
        <f t="shared" si="34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2"/>
        <v/>
      </c>
      <c r="Q347" s="139" t="str">
        <f t="shared" si="33"/>
        <v/>
      </c>
      <c r="AA347" s="139" t="s">
        <v>2576</v>
      </c>
      <c r="AB347" s="139" t="s">
        <v>2577</v>
      </c>
    </row>
    <row r="348" spans="1:28">
      <c r="A348" s="149"/>
      <c r="B348" s="144" t="str">
        <f t="shared" si="31"/>
        <v/>
      </c>
      <c r="C348" s="149"/>
      <c r="D348" s="144" t="str">
        <f t="shared" si="30"/>
        <v/>
      </c>
      <c r="E348" s="183"/>
      <c r="F348" s="144" t="str">
        <f t="shared" si="34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2"/>
        <v/>
      </c>
      <c r="Q348" s="139" t="str">
        <f t="shared" si="33"/>
        <v/>
      </c>
      <c r="AA348" s="139" t="s">
        <v>2578</v>
      </c>
      <c r="AB348" s="139" t="s">
        <v>2579</v>
      </c>
    </row>
    <row r="349" spans="1:28">
      <c r="A349" s="149"/>
      <c r="B349" s="144" t="str">
        <f t="shared" si="31"/>
        <v/>
      </c>
      <c r="C349" s="149"/>
      <c r="D349" s="144" t="str">
        <f t="shared" si="30"/>
        <v/>
      </c>
      <c r="E349" s="183"/>
      <c r="F349" s="144" t="str">
        <f t="shared" si="34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2"/>
        <v/>
      </c>
      <c r="Q349" s="139" t="str">
        <f t="shared" si="33"/>
        <v/>
      </c>
      <c r="AA349" s="139" t="s">
        <v>2580</v>
      </c>
      <c r="AB349" s="139" t="s">
        <v>999</v>
      </c>
    </row>
    <row r="350" spans="1:28">
      <c r="A350" s="149"/>
      <c r="B350" s="144" t="str">
        <f t="shared" si="31"/>
        <v/>
      </c>
      <c r="C350" s="149"/>
      <c r="D350" s="144" t="str">
        <f t="shared" si="30"/>
        <v/>
      </c>
      <c r="E350" s="183"/>
      <c r="F350" s="144" t="str">
        <f t="shared" si="34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2"/>
        <v/>
      </c>
      <c r="Q350" s="139" t="str">
        <f t="shared" si="33"/>
        <v/>
      </c>
      <c r="AA350" s="139" t="s">
        <v>2581</v>
      </c>
      <c r="AB350" s="139" t="s">
        <v>1292</v>
      </c>
    </row>
    <row r="351" spans="1:28">
      <c r="A351" s="149"/>
      <c r="B351" s="144" t="str">
        <f t="shared" si="31"/>
        <v/>
      </c>
      <c r="C351" s="149"/>
      <c r="D351" s="144" t="str">
        <f t="shared" si="30"/>
        <v/>
      </c>
      <c r="E351" s="183"/>
      <c r="F351" s="144" t="str">
        <f t="shared" si="34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2"/>
        <v/>
      </c>
      <c r="Q351" s="139" t="str">
        <f t="shared" si="33"/>
        <v/>
      </c>
      <c r="AA351" s="139" t="s">
        <v>2582</v>
      </c>
      <c r="AB351" s="139" t="s">
        <v>2583</v>
      </c>
    </row>
    <row r="352" spans="1:28">
      <c r="A352" s="149"/>
      <c r="B352" s="144" t="str">
        <f t="shared" si="31"/>
        <v/>
      </c>
      <c r="C352" s="149"/>
      <c r="D352" s="144" t="str">
        <f t="shared" si="30"/>
        <v/>
      </c>
      <c r="E352" s="183"/>
      <c r="F352" s="144" t="str">
        <f t="shared" si="34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2"/>
        <v/>
      </c>
      <c r="Q352" s="139" t="str">
        <f t="shared" si="33"/>
        <v/>
      </c>
      <c r="AA352" s="139" t="s">
        <v>2584</v>
      </c>
      <c r="AB352" s="139" t="s">
        <v>2585</v>
      </c>
    </row>
    <row r="353" spans="1:28">
      <c r="A353" s="149"/>
      <c r="B353" s="144" t="str">
        <f t="shared" si="31"/>
        <v/>
      </c>
      <c r="C353" s="149"/>
      <c r="D353" s="144" t="str">
        <f t="shared" si="30"/>
        <v/>
      </c>
      <c r="E353" s="183"/>
      <c r="F353" s="144" t="str">
        <f t="shared" si="34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2"/>
        <v/>
      </c>
      <c r="Q353" s="139" t="str">
        <f t="shared" si="33"/>
        <v/>
      </c>
      <c r="AA353" s="139" t="s">
        <v>2586</v>
      </c>
      <c r="AB353" s="139" t="s">
        <v>2587</v>
      </c>
    </row>
    <row r="354" spans="1:28">
      <c r="A354" s="149"/>
      <c r="B354" s="144" t="str">
        <f t="shared" si="31"/>
        <v/>
      </c>
      <c r="C354" s="149"/>
      <c r="D354" s="144" t="str">
        <f t="shared" si="30"/>
        <v/>
      </c>
      <c r="E354" s="183"/>
      <c r="F354" s="144" t="str">
        <f t="shared" si="34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2"/>
        <v/>
      </c>
      <c r="Q354" s="139" t="str">
        <f t="shared" si="33"/>
        <v/>
      </c>
      <c r="AA354" s="139" t="s">
        <v>2588</v>
      </c>
      <c r="AB354" s="139" t="s">
        <v>2589</v>
      </c>
    </row>
    <row r="355" spans="1:28">
      <c r="A355" s="149"/>
      <c r="B355" s="144" t="str">
        <f t="shared" si="31"/>
        <v/>
      </c>
      <c r="C355" s="149"/>
      <c r="D355" s="144" t="str">
        <f t="shared" si="30"/>
        <v/>
      </c>
      <c r="E355" s="183"/>
      <c r="F355" s="144" t="str">
        <f t="shared" si="34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2"/>
        <v/>
      </c>
      <c r="Q355" s="139" t="str">
        <f t="shared" si="33"/>
        <v/>
      </c>
      <c r="AA355" s="139" t="s">
        <v>2590</v>
      </c>
      <c r="AB355" s="139" t="s">
        <v>2591</v>
      </c>
    </row>
    <row r="356" spans="1:28">
      <c r="A356" s="149"/>
      <c r="B356" s="144" t="str">
        <f t="shared" si="31"/>
        <v/>
      </c>
      <c r="C356" s="149"/>
      <c r="D356" s="144" t="str">
        <f t="shared" si="30"/>
        <v/>
      </c>
      <c r="E356" s="183"/>
      <c r="F356" s="144" t="str">
        <f t="shared" si="34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2"/>
        <v/>
      </c>
      <c r="Q356" s="139" t="str">
        <f t="shared" si="33"/>
        <v/>
      </c>
      <c r="AA356" s="139" t="s">
        <v>2592</v>
      </c>
      <c r="AB356" s="139" t="s">
        <v>2593</v>
      </c>
    </row>
    <row r="357" spans="1:28">
      <c r="A357" s="149"/>
      <c r="B357" s="144" t="str">
        <f t="shared" si="31"/>
        <v/>
      </c>
      <c r="C357" s="149"/>
      <c r="D357" s="144" t="str">
        <f t="shared" ref="D357:D420" si="35">IFERROR(VLOOKUP(C357,$U$5:$W$126,2,FALSE),"")</f>
        <v/>
      </c>
      <c r="E357" s="183"/>
      <c r="F357" s="144" t="str">
        <f t="shared" si="34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2"/>
        <v/>
      </c>
      <c r="Q357" s="139" t="str">
        <f t="shared" si="33"/>
        <v/>
      </c>
      <c r="AA357" s="139" t="s">
        <v>2594</v>
      </c>
      <c r="AB357" s="139" t="s">
        <v>2595</v>
      </c>
    </row>
    <row r="358" spans="1:28">
      <c r="A358" s="149"/>
      <c r="B358" s="144" t="str">
        <f t="shared" si="31"/>
        <v/>
      </c>
      <c r="C358" s="149"/>
      <c r="D358" s="144" t="str">
        <f t="shared" si="35"/>
        <v/>
      </c>
      <c r="E358" s="183"/>
      <c r="F358" s="144" t="str">
        <f t="shared" si="34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2"/>
        <v/>
      </c>
      <c r="Q358" s="139" t="str">
        <f t="shared" si="33"/>
        <v/>
      </c>
      <c r="AA358" s="139" t="s">
        <v>2596</v>
      </c>
      <c r="AB358" s="139" t="s">
        <v>2597</v>
      </c>
    </row>
    <row r="359" spans="1:28">
      <c r="A359" s="149"/>
      <c r="B359" s="144" t="str">
        <f t="shared" si="31"/>
        <v/>
      </c>
      <c r="C359" s="149"/>
      <c r="D359" s="144" t="str">
        <f t="shared" si="35"/>
        <v/>
      </c>
      <c r="E359" s="183"/>
      <c r="F359" s="144" t="str">
        <f t="shared" si="34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2"/>
        <v/>
      </c>
      <c r="Q359" s="139" t="str">
        <f t="shared" si="33"/>
        <v/>
      </c>
      <c r="AA359" s="139" t="s">
        <v>2598</v>
      </c>
      <c r="AB359" s="139" t="s">
        <v>2599</v>
      </c>
    </row>
    <row r="360" spans="1:28">
      <c r="A360" s="149"/>
      <c r="B360" s="144" t="str">
        <f t="shared" si="31"/>
        <v/>
      </c>
      <c r="C360" s="149"/>
      <c r="D360" s="144" t="str">
        <f t="shared" si="35"/>
        <v/>
      </c>
      <c r="E360" s="183"/>
      <c r="F360" s="144" t="str">
        <f t="shared" si="34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2"/>
        <v/>
      </c>
      <c r="Q360" s="139" t="str">
        <f t="shared" si="33"/>
        <v/>
      </c>
      <c r="AA360" s="139" t="s">
        <v>2600</v>
      </c>
      <c r="AB360" s="139" t="s">
        <v>2601</v>
      </c>
    </row>
    <row r="361" spans="1:28">
      <c r="A361" s="149"/>
      <c r="B361" s="144" t="str">
        <f t="shared" si="31"/>
        <v/>
      </c>
      <c r="C361" s="149"/>
      <c r="D361" s="144" t="str">
        <f t="shared" si="35"/>
        <v/>
      </c>
      <c r="E361" s="183"/>
      <c r="F361" s="144" t="str">
        <f t="shared" si="34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2"/>
        <v/>
      </c>
      <c r="Q361" s="139" t="str">
        <f t="shared" si="33"/>
        <v/>
      </c>
      <c r="AA361" s="139" t="s">
        <v>2602</v>
      </c>
      <c r="AB361" s="139" t="s">
        <v>2603</v>
      </c>
    </row>
    <row r="362" spans="1:28">
      <c r="A362" s="149"/>
      <c r="B362" s="144" t="str">
        <f t="shared" si="31"/>
        <v/>
      </c>
      <c r="C362" s="149"/>
      <c r="D362" s="144" t="str">
        <f t="shared" si="35"/>
        <v/>
      </c>
      <c r="E362" s="183"/>
      <c r="F362" s="144" t="str">
        <f t="shared" si="34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2"/>
        <v/>
      </c>
      <c r="Q362" s="139" t="str">
        <f t="shared" si="33"/>
        <v/>
      </c>
      <c r="AA362" s="139" t="s">
        <v>2604</v>
      </c>
      <c r="AB362" s="139" t="s">
        <v>2605</v>
      </c>
    </row>
    <row r="363" spans="1:28">
      <c r="A363" s="149"/>
      <c r="B363" s="144" t="str">
        <f t="shared" ref="B363:B426" si="36">IFERROR(VLOOKUP(A363,$R$8:$S$23,2,FALSE),"")</f>
        <v/>
      </c>
      <c r="C363" s="149"/>
      <c r="D363" s="144" t="str">
        <f t="shared" si="35"/>
        <v/>
      </c>
      <c r="E363" s="183"/>
      <c r="F363" s="144" t="str">
        <f t="shared" si="34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2"/>
        <v/>
      </c>
      <c r="Q363" s="139" t="str">
        <f t="shared" si="33"/>
        <v/>
      </c>
      <c r="AA363" s="139" t="s">
        <v>914</v>
      </c>
      <c r="AB363" s="139" t="s">
        <v>915</v>
      </c>
    </row>
    <row r="364" spans="1:28">
      <c r="A364" s="149"/>
      <c r="B364" s="144" t="str">
        <f t="shared" si="36"/>
        <v/>
      </c>
      <c r="C364" s="149"/>
      <c r="D364" s="144" t="str">
        <f t="shared" si="35"/>
        <v/>
      </c>
      <c r="E364" s="183"/>
      <c r="F364" s="144" t="str">
        <f t="shared" si="34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2"/>
        <v/>
      </c>
      <c r="Q364" s="139" t="str">
        <f t="shared" si="33"/>
        <v/>
      </c>
      <c r="AA364" s="139" t="s">
        <v>916</v>
      </c>
      <c r="AB364" s="139" t="s">
        <v>917</v>
      </c>
    </row>
    <row r="365" spans="1:28">
      <c r="A365" s="149"/>
      <c r="B365" s="144" t="str">
        <f t="shared" si="36"/>
        <v/>
      </c>
      <c r="C365" s="149"/>
      <c r="D365" s="144" t="str">
        <f t="shared" si="35"/>
        <v/>
      </c>
      <c r="E365" s="183"/>
      <c r="F365" s="144" t="str">
        <f t="shared" si="34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2"/>
        <v/>
      </c>
      <c r="Q365" s="139" t="str">
        <f t="shared" si="33"/>
        <v/>
      </c>
      <c r="AA365" s="139" t="s">
        <v>918</v>
      </c>
      <c r="AB365" s="139" t="s">
        <v>919</v>
      </c>
    </row>
    <row r="366" spans="1:28">
      <c r="A366" s="149"/>
      <c r="B366" s="144" t="str">
        <f t="shared" si="36"/>
        <v/>
      </c>
      <c r="C366" s="149"/>
      <c r="D366" s="144" t="str">
        <f t="shared" si="35"/>
        <v/>
      </c>
      <c r="E366" s="183"/>
      <c r="F366" s="144" t="str">
        <f t="shared" si="34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2"/>
        <v/>
      </c>
      <c r="Q366" s="139" t="str">
        <f t="shared" si="33"/>
        <v/>
      </c>
      <c r="AA366" s="139" t="s">
        <v>920</v>
      </c>
      <c r="AB366" s="139" t="s">
        <v>921</v>
      </c>
    </row>
    <row r="367" spans="1:28">
      <c r="A367" s="149"/>
      <c r="B367" s="144" t="str">
        <f t="shared" si="36"/>
        <v/>
      </c>
      <c r="C367" s="149"/>
      <c r="D367" s="144" t="str">
        <f t="shared" si="35"/>
        <v/>
      </c>
      <c r="E367" s="183"/>
      <c r="F367" s="144" t="str">
        <f t="shared" si="34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2"/>
        <v/>
      </c>
      <c r="Q367" s="139" t="str">
        <f t="shared" si="33"/>
        <v/>
      </c>
      <c r="AA367" s="139" t="s">
        <v>922</v>
      </c>
      <c r="AB367" s="139" t="s">
        <v>923</v>
      </c>
    </row>
    <row r="368" spans="1:28">
      <c r="A368" s="149"/>
      <c r="B368" s="144" t="str">
        <f t="shared" si="36"/>
        <v/>
      </c>
      <c r="C368" s="149"/>
      <c r="D368" s="144" t="str">
        <f t="shared" si="35"/>
        <v/>
      </c>
      <c r="E368" s="183"/>
      <c r="F368" s="144" t="str">
        <f t="shared" si="34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2"/>
        <v/>
      </c>
      <c r="Q368" s="139" t="str">
        <f t="shared" si="33"/>
        <v/>
      </c>
      <c r="AA368" s="139" t="s">
        <v>924</v>
      </c>
      <c r="AB368" s="139" t="s">
        <v>925</v>
      </c>
    </row>
    <row r="369" spans="1:28">
      <c r="A369" s="149"/>
      <c r="B369" s="144" t="str">
        <f t="shared" si="36"/>
        <v/>
      </c>
      <c r="C369" s="149"/>
      <c r="D369" s="144" t="str">
        <f t="shared" si="35"/>
        <v/>
      </c>
      <c r="E369" s="183"/>
      <c r="F369" s="144" t="str">
        <f t="shared" si="34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2"/>
        <v/>
      </c>
      <c r="Q369" s="139" t="str">
        <f t="shared" si="33"/>
        <v/>
      </c>
      <c r="AA369" s="139" t="s">
        <v>926</v>
      </c>
      <c r="AB369" s="139" t="s">
        <v>927</v>
      </c>
    </row>
    <row r="370" spans="1:28">
      <c r="A370" s="149"/>
      <c r="B370" s="144" t="str">
        <f t="shared" si="36"/>
        <v/>
      </c>
      <c r="C370" s="149"/>
      <c r="D370" s="144" t="str">
        <f t="shared" si="35"/>
        <v/>
      </c>
      <c r="E370" s="183"/>
      <c r="F370" s="144" t="str">
        <f t="shared" si="34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2"/>
        <v/>
      </c>
      <c r="Q370" s="139" t="str">
        <f t="shared" si="33"/>
        <v/>
      </c>
      <c r="AA370" s="139" t="s">
        <v>928</v>
      </c>
      <c r="AB370" s="139" t="s">
        <v>929</v>
      </c>
    </row>
    <row r="371" spans="1:28">
      <c r="A371" s="149"/>
      <c r="B371" s="144" t="str">
        <f t="shared" si="36"/>
        <v/>
      </c>
      <c r="C371" s="149"/>
      <c r="D371" s="144" t="str">
        <f t="shared" si="35"/>
        <v/>
      </c>
      <c r="E371" s="183"/>
      <c r="F371" s="144" t="str">
        <f t="shared" si="34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2"/>
        <v/>
      </c>
      <c r="Q371" s="139" t="str">
        <f t="shared" si="33"/>
        <v/>
      </c>
      <c r="AA371" s="139" t="s">
        <v>930</v>
      </c>
      <c r="AB371" s="139" t="s">
        <v>931</v>
      </c>
    </row>
    <row r="372" spans="1:28">
      <c r="A372" s="149"/>
      <c r="B372" s="144" t="str">
        <f t="shared" si="36"/>
        <v/>
      </c>
      <c r="C372" s="149"/>
      <c r="D372" s="144" t="str">
        <f t="shared" si="35"/>
        <v/>
      </c>
      <c r="E372" s="183"/>
      <c r="F372" s="144" t="str">
        <f t="shared" si="34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2"/>
        <v/>
      </c>
      <c r="Q372" s="139" t="str">
        <f t="shared" si="33"/>
        <v/>
      </c>
      <c r="AA372" s="139" t="s">
        <v>932</v>
      </c>
      <c r="AB372" s="139" t="s">
        <v>933</v>
      </c>
    </row>
    <row r="373" spans="1:28">
      <c r="A373" s="149"/>
      <c r="B373" s="144" t="str">
        <f t="shared" si="36"/>
        <v/>
      </c>
      <c r="C373" s="149"/>
      <c r="D373" s="144" t="str">
        <f t="shared" si="35"/>
        <v/>
      </c>
      <c r="E373" s="183"/>
      <c r="F373" s="144" t="str">
        <f t="shared" si="34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2"/>
        <v/>
      </c>
      <c r="Q373" s="139" t="str">
        <f t="shared" si="33"/>
        <v/>
      </c>
      <c r="AA373" s="139" t="s">
        <v>934</v>
      </c>
      <c r="AB373" s="139" t="s">
        <v>935</v>
      </c>
    </row>
    <row r="374" spans="1:28">
      <c r="A374" s="149"/>
      <c r="B374" s="144" t="str">
        <f t="shared" si="36"/>
        <v/>
      </c>
      <c r="C374" s="149"/>
      <c r="D374" s="144" t="str">
        <f t="shared" si="35"/>
        <v/>
      </c>
      <c r="E374" s="183"/>
      <c r="F374" s="144" t="str">
        <f t="shared" si="34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2"/>
        <v/>
      </c>
      <c r="Q374" s="139" t="str">
        <f t="shared" si="33"/>
        <v/>
      </c>
      <c r="AA374" s="139" t="s">
        <v>936</v>
      </c>
      <c r="AB374" s="139" t="s">
        <v>937</v>
      </c>
    </row>
    <row r="375" spans="1:28">
      <c r="A375" s="149"/>
      <c r="B375" s="144" t="str">
        <f t="shared" si="36"/>
        <v/>
      </c>
      <c r="C375" s="149"/>
      <c r="D375" s="144" t="str">
        <f t="shared" si="35"/>
        <v/>
      </c>
      <c r="E375" s="183"/>
      <c r="F375" s="144" t="str">
        <f t="shared" si="34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2"/>
        <v/>
      </c>
      <c r="Q375" s="139" t="str">
        <f t="shared" si="33"/>
        <v/>
      </c>
      <c r="AA375" s="139" t="s">
        <v>938</v>
      </c>
      <c r="AB375" s="139" t="s">
        <v>939</v>
      </c>
    </row>
    <row r="376" spans="1:28">
      <c r="A376" s="149"/>
      <c r="B376" s="144" t="str">
        <f t="shared" si="36"/>
        <v/>
      </c>
      <c r="C376" s="149"/>
      <c r="D376" s="144" t="str">
        <f t="shared" si="35"/>
        <v/>
      </c>
      <c r="E376" s="183"/>
      <c r="F376" s="144" t="str">
        <f t="shared" si="34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2"/>
        <v/>
      </c>
      <c r="Q376" s="139" t="str">
        <f t="shared" si="33"/>
        <v/>
      </c>
      <c r="AA376" s="139" t="s">
        <v>940</v>
      </c>
      <c r="AB376" s="139" t="s">
        <v>941</v>
      </c>
    </row>
    <row r="377" spans="1:28">
      <c r="A377" s="149"/>
      <c r="B377" s="144" t="str">
        <f t="shared" si="36"/>
        <v/>
      </c>
      <c r="C377" s="149"/>
      <c r="D377" s="144" t="str">
        <f t="shared" si="35"/>
        <v/>
      </c>
      <c r="E377" s="183"/>
      <c r="F377" s="144" t="str">
        <f t="shared" si="34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2"/>
        <v/>
      </c>
      <c r="Q377" s="139" t="str">
        <f t="shared" si="33"/>
        <v/>
      </c>
      <c r="AA377" s="139" t="s">
        <v>942</v>
      </c>
      <c r="AB377" s="139" t="s">
        <v>943</v>
      </c>
    </row>
    <row r="378" spans="1:28">
      <c r="A378" s="149"/>
      <c r="B378" s="144" t="str">
        <f t="shared" si="36"/>
        <v/>
      </c>
      <c r="C378" s="149"/>
      <c r="D378" s="144" t="str">
        <f t="shared" si="35"/>
        <v/>
      </c>
      <c r="E378" s="183"/>
      <c r="F378" s="144" t="str">
        <f t="shared" si="34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2"/>
        <v/>
      </c>
      <c r="Q378" s="139" t="str">
        <f t="shared" si="33"/>
        <v/>
      </c>
      <c r="AA378" s="139" t="s">
        <v>944</v>
      </c>
      <c r="AB378" s="139" t="s">
        <v>945</v>
      </c>
    </row>
    <row r="379" spans="1:28">
      <c r="A379" s="149"/>
      <c r="B379" s="144" t="str">
        <f t="shared" si="36"/>
        <v/>
      </c>
      <c r="C379" s="149"/>
      <c r="D379" s="144" t="str">
        <f t="shared" si="35"/>
        <v/>
      </c>
      <c r="E379" s="183"/>
      <c r="F379" s="144" t="str">
        <f t="shared" si="34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2"/>
        <v/>
      </c>
      <c r="Q379" s="139" t="str">
        <f t="shared" si="33"/>
        <v/>
      </c>
      <c r="AA379" s="139" t="s">
        <v>946</v>
      </c>
      <c r="AB379" s="139" t="s">
        <v>947</v>
      </c>
    </row>
    <row r="380" spans="1:28">
      <c r="A380" s="149"/>
      <c r="B380" s="144" t="str">
        <f t="shared" si="36"/>
        <v/>
      </c>
      <c r="C380" s="149"/>
      <c r="D380" s="144" t="str">
        <f t="shared" si="35"/>
        <v/>
      </c>
      <c r="E380" s="183"/>
      <c r="F380" s="144" t="str">
        <f t="shared" si="34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2"/>
        <v/>
      </c>
      <c r="Q380" s="139" t="str">
        <f t="shared" si="33"/>
        <v/>
      </c>
      <c r="AA380" s="139" t="s">
        <v>948</v>
      </c>
      <c r="AB380" s="139" t="s">
        <v>949</v>
      </c>
    </row>
    <row r="381" spans="1:28">
      <c r="A381" s="149"/>
      <c r="B381" s="144" t="str">
        <f t="shared" si="36"/>
        <v/>
      </c>
      <c r="C381" s="149"/>
      <c r="D381" s="144" t="str">
        <f t="shared" si="35"/>
        <v/>
      </c>
      <c r="E381" s="183"/>
      <c r="F381" s="144" t="str">
        <f t="shared" si="34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2"/>
        <v/>
      </c>
      <c r="Q381" s="139" t="str">
        <f t="shared" si="33"/>
        <v/>
      </c>
      <c r="AA381" s="139" t="s">
        <v>950</v>
      </c>
      <c r="AB381" s="139" t="s">
        <v>951</v>
      </c>
    </row>
    <row r="382" spans="1:28">
      <c r="A382" s="149"/>
      <c r="B382" s="144" t="str">
        <f t="shared" si="36"/>
        <v/>
      </c>
      <c r="C382" s="149"/>
      <c r="D382" s="144" t="str">
        <f t="shared" si="35"/>
        <v/>
      </c>
      <c r="E382" s="183"/>
      <c r="F382" s="144" t="str">
        <f t="shared" si="34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2"/>
        <v/>
      </c>
      <c r="Q382" s="139" t="str">
        <f t="shared" si="33"/>
        <v/>
      </c>
      <c r="AA382" s="139" t="s">
        <v>952</v>
      </c>
      <c r="AB382" s="139" t="s">
        <v>953</v>
      </c>
    </row>
    <row r="383" spans="1:28">
      <c r="A383" s="149"/>
      <c r="B383" s="144" t="str">
        <f t="shared" si="36"/>
        <v/>
      </c>
      <c r="C383" s="149"/>
      <c r="D383" s="144" t="str">
        <f t="shared" si="35"/>
        <v/>
      </c>
      <c r="E383" s="183"/>
      <c r="F383" s="144" t="str">
        <f t="shared" si="34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2"/>
        <v/>
      </c>
      <c r="Q383" s="139" t="str">
        <f t="shared" si="33"/>
        <v/>
      </c>
      <c r="AA383" s="139" t="s">
        <v>954</v>
      </c>
      <c r="AB383" s="139" t="s">
        <v>955</v>
      </c>
    </row>
    <row r="384" spans="1:28">
      <c r="A384" s="149"/>
      <c r="B384" s="144" t="str">
        <f t="shared" si="36"/>
        <v/>
      </c>
      <c r="C384" s="149"/>
      <c r="D384" s="144" t="str">
        <f t="shared" si="35"/>
        <v/>
      </c>
      <c r="E384" s="183"/>
      <c r="F384" s="144" t="str">
        <f t="shared" si="34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2"/>
        <v/>
      </c>
      <c r="Q384" s="139" t="str">
        <f t="shared" si="33"/>
        <v/>
      </c>
      <c r="AA384" s="139" t="s">
        <v>956</v>
      </c>
      <c r="AB384" s="139" t="s">
        <v>957</v>
      </c>
    </row>
    <row r="385" spans="1:28">
      <c r="A385" s="149"/>
      <c r="B385" s="144" t="str">
        <f t="shared" si="36"/>
        <v/>
      </c>
      <c r="C385" s="149"/>
      <c r="D385" s="144" t="str">
        <f t="shared" si="35"/>
        <v/>
      </c>
      <c r="E385" s="183"/>
      <c r="F385" s="144" t="str">
        <f t="shared" si="34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ref="P385:P448" si="37">LEFT(C385,3)</f>
        <v/>
      </c>
      <c r="Q385" s="139" t="str">
        <f t="shared" ref="Q385:Q448" si="38">LEFT(C385,2)</f>
        <v/>
      </c>
      <c r="AA385" s="139" t="s">
        <v>958</v>
      </c>
      <c r="AB385" s="139" t="s">
        <v>959</v>
      </c>
    </row>
    <row r="386" spans="1:28">
      <c r="A386" s="149"/>
      <c r="B386" s="144" t="str">
        <f t="shared" si="36"/>
        <v/>
      </c>
      <c r="C386" s="149"/>
      <c r="D386" s="144" t="str">
        <f t="shared" si="35"/>
        <v/>
      </c>
      <c r="E386" s="183"/>
      <c r="F386" s="144" t="str">
        <f t="shared" si="34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7"/>
        <v/>
      </c>
      <c r="Q386" s="139" t="str">
        <f t="shared" si="38"/>
        <v/>
      </c>
      <c r="AA386" s="139" t="s">
        <v>960</v>
      </c>
      <c r="AB386" s="139" t="s">
        <v>961</v>
      </c>
    </row>
    <row r="387" spans="1:28">
      <c r="A387" s="149"/>
      <c r="B387" s="144" t="str">
        <f t="shared" si="36"/>
        <v/>
      </c>
      <c r="C387" s="149"/>
      <c r="D387" s="144" t="str">
        <f t="shared" si="35"/>
        <v/>
      </c>
      <c r="E387" s="183"/>
      <c r="F387" s="144" t="str">
        <f t="shared" si="34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7"/>
        <v/>
      </c>
      <c r="Q387" s="139" t="str">
        <f t="shared" si="38"/>
        <v/>
      </c>
      <c r="AA387" s="139" t="s">
        <v>962</v>
      </c>
      <c r="AB387" s="139" t="s">
        <v>963</v>
      </c>
    </row>
    <row r="388" spans="1:28">
      <c r="A388" s="149"/>
      <c r="B388" s="144" t="str">
        <f t="shared" si="36"/>
        <v/>
      </c>
      <c r="C388" s="149"/>
      <c r="D388" s="144" t="str">
        <f t="shared" si="35"/>
        <v/>
      </c>
      <c r="E388" s="183"/>
      <c r="F388" s="144" t="str">
        <f t="shared" si="34"/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si="37"/>
        <v/>
      </c>
      <c r="Q388" s="139" t="str">
        <f t="shared" si="38"/>
        <v/>
      </c>
      <c r="AA388" s="139" t="s">
        <v>964</v>
      </c>
      <c r="AB388" s="139" t="s">
        <v>965</v>
      </c>
    </row>
    <row r="389" spans="1:28">
      <c r="A389" s="149"/>
      <c r="B389" s="144" t="str">
        <f t="shared" si="36"/>
        <v/>
      </c>
      <c r="C389" s="149"/>
      <c r="D389" s="144" t="str">
        <f t="shared" si="35"/>
        <v/>
      </c>
      <c r="E389" s="183"/>
      <c r="F389" s="144" t="str">
        <f t="shared" si="34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7"/>
        <v/>
      </c>
      <c r="Q389" s="139" t="str">
        <f t="shared" si="38"/>
        <v/>
      </c>
      <c r="AA389" s="139" t="s">
        <v>966</v>
      </c>
      <c r="AB389" s="139" t="s">
        <v>967</v>
      </c>
    </row>
    <row r="390" spans="1:28">
      <c r="A390" s="149"/>
      <c r="B390" s="144" t="str">
        <f t="shared" si="36"/>
        <v/>
      </c>
      <c r="C390" s="149"/>
      <c r="D390" s="144" t="str">
        <f t="shared" si="35"/>
        <v/>
      </c>
      <c r="E390" s="183"/>
      <c r="F390" s="144" t="str">
        <f t="shared" si="34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7"/>
        <v/>
      </c>
      <c r="Q390" s="139" t="str">
        <f t="shared" si="38"/>
        <v/>
      </c>
      <c r="AA390" s="139" t="s">
        <v>968</v>
      </c>
      <c r="AB390" s="139" t="s">
        <v>969</v>
      </c>
    </row>
    <row r="391" spans="1:28">
      <c r="A391" s="149"/>
      <c r="B391" s="144" t="str">
        <f t="shared" si="36"/>
        <v/>
      </c>
      <c r="C391" s="149"/>
      <c r="D391" s="144" t="str">
        <f t="shared" si="35"/>
        <v/>
      </c>
      <c r="E391" s="183"/>
      <c r="F391" s="144" t="str">
        <f t="shared" si="34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7"/>
        <v/>
      </c>
      <c r="Q391" s="139" t="str">
        <f t="shared" si="38"/>
        <v/>
      </c>
      <c r="AA391" s="139" t="s">
        <v>970</v>
      </c>
      <c r="AB391" s="139" t="s">
        <v>971</v>
      </c>
    </row>
    <row r="392" spans="1:28">
      <c r="A392" s="149"/>
      <c r="B392" s="144" t="str">
        <f t="shared" si="36"/>
        <v/>
      </c>
      <c r="C392" s="149"/>
      <c r="D392" s="144" t="str">
        <f t="shared" si="35"/>
        <v/>
      </c>
      <c r="E392" s="183"/>
      <c r="F392" s="144" t="str">
        <f t="shared" ref="F392:F455" si="39">IFERROR(VLOOKUP(E392,$AA$8:$AB$1015,2,FALSE),"")</f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7"/>
        <v/>
      </c>
      <c r="Q392" s="139" t="str">
        <f t="shared" si="38"/>
        <v/>
      </c>
      <c r="AA392" s="139" t="s">
        <v>972</v>
      </c>
      <c r="AB392" s="139" t="s">
        <v>973</v>
      </c>
    </row>
    <row r="393" spans="1:28">
      <c r="A393" s="149"/>
      <c r="B393" s="144" t="str">
        <f t="shared" si="36"/>
        <v/>
      </c>
      <c r="C393" s="149"/>
      <c r="D393" s="144" t="str">
        <f t="shared" si="35"/>
        <v/>
      </c>
      <c r="E393" s="183"/>
      <c r="F393" s="144" t="str">
        <f t="shared" si="39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7"/>
        <v/>
      </c>
      <c r="Q393" s="139" t="str">
        <f t="shared" si="38"/>
        <v/>
      </c>
      <c r="AA393" s="139" t="s">
        <v>974</v>
      </c>
      <c r="AB393" s="139" t="s">
        <v>975</v>
      </c>
    </row>
    <row r="394" spans="1:28">
      <c r="A394" s="149"/>
      <c r="B394" s="144" t="str">
        <f t="shared" si="36"/>
        <v/>
      </c>
      <c r="C394" s="149"/>
      <c r="D394" s="144" t="str">
        <f t="shared" si="35"/>
        <v/>
      </c>
      <c r="E394" s="183"/>
      <c r="F394" s="144" t="str">
        <f t="shared" si="39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7"/>
        <v/>
      </c>
      <c r="Q394" s="139" t="str">
        <f t="shared" si="38"/>
        <v/>
      </c>
      <c r="AA394" s="139" t="s">
        <v>976</v>
      </c>
      <c r="AB394" s="139" t="s">
        <v>977</v>
      </c>
    </row>
    <row r="395" spans="1:28">
      <c r="A395" s="149"/>
      <c r="B395" s="144" t="str">
        <f t="shared" si="36"/>
        <v/>
      </c>
      <c r="C395" s="149"/>
      <c r="D395" s="144" t="str">
        <f t="shared" si="35"/>
        <v/>
      </c>
      <c r="E395" s="183"/>
      <c r="F395" s="144" t="str">
        <f t="shared" si="39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7"/>
        <v/>
      </c>
      <c r="Q395" s="139" t="str">
        <f t="shared" si="38"/>
        <v/>
      </c>
      <c r="AA395" s="139" t="s">
        <v>978</v>
      </c>
      <c r="AB395" s="139" t="s">
        <v>979</v>
      </c>
    </row>
    <row r="396" spans="1:28">
      <c r="A396" s="149"/>
      <c r="B396" s="144" t="str">
        <f t="shared" si="36"/>
        <v/>
      </c>
      <c r="C396" s="149"/>
      <c r="D396" s="144" t="str">
        <f t="shared" si="35"/>
        <v/>
      </c>
      <c r="E396" s="183"/>
      <c r="F396" s="144" t="str">
        <f t="shared" si="39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7"/>
        <v/>
      </c>
      <c r="Q396" s="139" t="str">
        <f t="shared" si="38"/>
        <v/>
      </c>
      <c r="AA396" s="139" t="s">
        <v>980</v>
      </c>
      <c r="AB396" s="139" t="s">
        <v>981</v>
      </c>
    </row>
    <row r="397" spans="1:28">
      <c r="A397" s="149"/>
      <c r="B397" s="144" t="str">
        <f t="shared" si="36"/>
        <v/>
      </c>
      <c r="C397" s="149"/>
      <c r="D397" s="144" t="str">
        <f t="shared" si="35"/>
        <v/>
      </c>
      <c r="E397" s="183"/>
      <c r="F397" s="144" t="str">
        <f t="shared" si="39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7"/>
        <v/>
      </c>
      <c r="Q397" s="139" t="str">
        <f t="shared" si="38"/>
        <v/>
      </c>
      <c r="AA397" s="139" t="s">
        <v>982</v>
      </c>
      <c r="AB397" s="139" t="s">
        <v>983</v>
      </c>
    </row>
    <row r="398" spans="1:28">
      <c r="A398" s="149"/>
      <c r="B398" s="144" t="str">
        <f t="shared" si="36"/>
        <v/>
      </c>
      <c r="C398" s="149"/>
      <c r="D398" s="144" t="str">
        <f t="shared" si="35"/>
        <v/>
      </c>
      <c r="E398" s="183"/>
      <c r="F398" s="144" t="str">
        <f t="shared" si="39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7"/>
        <v/>
      </c>
      <c r="Q398" s="139" t="str">
        <f t="shared" si="38"/>
        <v/>
      </c>
      <c r="AA398" s="139" t="s">
        <v>1581</v>
      </c>
      <c r="AB398" s="139" t="s">
        <v>1582</v>
      </c>
    </row>
    <row r="399" spans="1:28">
      <c r="A399" s="149"/>
      <c r="B399" s="144" t="str">
        <f t="shared" si="36"/>
        <v/>
      </c>
      <c r="C399" s="149"/>
      <c r="D399" s="144" t="str">
        <f t="shared" si="35"/>
        <v/>
      </c>
      <c r="E399" s="183"/>
      <c r="F399" s="144" t="str">
        <f t="shared" si="39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7"/>
        <v/>
      </c>
      <c r="Q399" s="139" t="str">
        <f t="shared" si="38"/>
        <v/>
      </c>
      <c r="AA399" s="139" t="s">
        <v>1583</v>
      </c>
      <c r="AB399" s="139" t="s">
        <v>1584</v>
      </c>
    </row>
    <row r="400" spans="1:28">
      <c r="A400" s="149"/>
      <c r="B400" s="144" t="str">
        <f t="shared" si="36"/>
        <v/>
      </c>
      <c r="C400" s="149"/>
      <c r="D400" s="144" t="str">
        <f t="shared" si="35"/>
        <v/>
      </c>
      <c r="E400" s="183"/>
      <c r="F400" s="144" t="str">
        <f t="shared" si="39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7"/>
        <v/>
      </c>
      <c r="Q400" s="139" t="str">
        <f t="shared" si="38"/>
        <v/>
      </c>
      <c r="AA400" s="139" t="s">
        <v>1585</v>
      </c>
      <c r="AB400" s="139" t="s">
        <v>1586</v>
      </c>
    </row>
    <row r="401" spans="1:28">
      <c r="A401" s="149"/>
      <c r="B401" s="144" t="str">
        <f t="shared" si="36"/>
        <v/>
      </c>
      <c r="C401" s="149"/>
      <c r="D401" s="144" t="str">
        <f t="shared" si="35"/>
        <v/>
      </c>
      <c r="E401" s="183"/>
      <c r="F401" s="144" t="str">
        <f t="shared" si="39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7"/>
        <v/>
      </c>
      <c r="Q401" s="139" t="str">
        <f t="shared" si="38"/>
        <v/>
      </c>
      <c r="AA401" s="139" t="s">
        <v>1587</v>
      </c>
      <c r="AB401" s="139" t="s">
        <v>1588</v>
      </c>
    </row>
    <row r="402" spans="1:28">
      <c r="A402" s="149"/>
      <c r="B402" s="144" t="str">
        <f t="shared" si="36"/>
        <v/>
      </c>
      <c r="C402" s="149"/>
      <c r="D402" s="144" t="str">
        <f t="shared" si="35"/>
        <v/>
      </c>
      <c r="E402" s="183"/>
      <c r="F402" s="144" t="str">
        <f t="shared" si="39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7"/>
        <v/>
      </c>
      <c r="Q402" s="139" t="str">
        <f t="shared" si="38"/>
        <v/>
      </c>
      <c r="AA402" s="139" t="s">
        <v>1589</v>
      </c>
      <c r="AB402" s="139" t="s">
        <v>1590</v>
      </c>
    </row>
    <row r="403" spans="1:28">
      <c r="A403" s="149"/>
      <c r="B403" s="144" t="str">
        <f t="shared" si="36"/>
        <v/>
      </c>
      <c r="C403" s="149"/>
      <c r="D403" s="144" t="str">
        <f t="shared" si="35"/>
        <v/>
      </c>
      <c r="E403" s="183"/>
      <c r="F403" s="144" t="str">
        <f t="shared" si="39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7"/>
        <v/>
      </c>
      <c r="Q403" s="139" t="str">
        <f t="shared" si="38"/>
        <v/>
      </c>
      <c r="AA403" s="139" t="s">
        <v>1591</v>
      </c>
      <c r="AB403" s="139" t="s">
        <v>1592</v>
      </c>
    </row>
    <row r="404" spans="1:28">
      <c r="A404" s="149"/>
      <c r="B404" s="144" t="str">
        <f t="shared" si="36"/>
        <v/>
      </c>
      <c r="C404" s="149"/>
      <c r="D404" s="144" t="str">
        <f t="shared" si="35"/>
        <v/>
      </c>
      <c r="E404" s="183"/>
      <c r="F404" s="144" t="str">
        <f t="shared" si="39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7"/>
        <v/>
      </c>
      <c r="Q404" s="139" t="str">
        <f t="shared" si="38"/>
        <v/>
      </c>
      <c r="AA404" s="139" t="s">
        <v>1593</v>
      </c>
      <c r="AB404" s="139" t="s">
        <v>1594</v>
      </c>
    </row>
    <row r="405" spans="1:28">
      <c r="A405" s="149"/>
      <c r="B405" s="144" t="str">
        <f t="shared" si="36"/>
        <v/>
      </c>
      <c r="C405" s="149"/>
      <c r="D405" s="144" t="str">
        <f t="shared" si="35"/>
        <v/>
      </c>
      <c r="E405" s="183"/>
      <c r="F405" s="144" t="str">
        <f t="shared" si="39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7"/>
        <v/>
      </c>
      <c r="Q405" s="139" t="str">
        <f t="shared" si="38"/>
        <v/>
      </c>
      <c r="AA405" s="139" t="s">
        <v>1595</v>
      </c>
      <c r="AB405" s="139" t="s">
        <v>1596</v>
      </c>
    </row>
    <row r="406" spans="1:28">
      <c r="A406" s="149"/>
      <c r="B406" s="144" t="str">
        <f t="shared" si="36"/>
        <v/>
      </c>
      <c r="C406" s="149"/>
      <c r="D406" s="144" t="str">
        <f t="shared" si="35"/>
        <v/>
      </c>
      <c r="E406" s="183"/>
      <c r="F406" s="144" t="str">
        <f t="shared" si="39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7"/>
        <v/>
      </c>
      <c r="Q406" s="139" t="str">
        <f t="shared" si="38"/>
        <v/>
      </c>
      <c r="AA406" s="139" t="s">
        <v>1597</v>
      </c>
      <c r="AB406" s="139" t="s">
        <v>1598</v>
      </c>
    </row>
    <row r="407" spans="1:28">
      <c r="A407" s="149"/>
      <c r="B407" s="144" t="str">
        <f t="shared" si="36"/>
        <v/>
      </c>
      <c r="C407" s="149"/>
      <c r="D407" s="144" t="str">
        <f t="shared" si="35"/>
        <v/>
      </c>
      <c r="E407" s="183"/>
      <c r="F407" s="144" t="str">
        <f t="shared" si="39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7"/>
        <v/>
      </c>
      <c r="Q407" s="139" t="str">
        <f t="shared" si="38"/>
        <v/>
      </c>
      <c r="AA407" s="139" t="s">
        <v>1599</v>
      </c>
      <c r="AB407" s="139" t="s">
        <v>1600</v>
      </c>
    </row>
    <row r="408" spans="1:28">
      <c r="A408" s="149"/>
      <c r="B408" s="144" t="str">
        <f t="shared" si="36"/>
        <v/>
      </c>
      <c r="C408" s="149"/>
      <c r="D408" s="144" t="str">
        <f t="shared" si="35"/>
        <v/>
      </c>
      <c r="E408" s="183"/>
      <c r="F408" s="144" t="str">
        <f t="shared" si="39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7"/>
        <v/>
      </c>
      <c r="Q408" s="139" t="str">
        <f t="shared" si="38"/>
        <v/>
      </c>
      <c r="AA408" s="139" t="s">
        <v>1601</v>
      </c>
      <c r="AB408" s="139" t="s">
        <v>1602</v>
      </c>
    </row>
    <row r="409" spans="1:28">
      <c r="A409" s="149"/>
      <c r="B409" s="144" t="str">
        <f t="shared" si="36"/>
        <v/>
      </c>
      <c r="C409" s="149"/>
      <c r="D409" s="144" t="str">
        <f t="shared" si="35"/>
        <v/>
      </c>
      <c r="E409" s="183"/>
      <c r="F409" s="144" t="str">
        <f t="shared" si="39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7"/>
        <v/>
      </c>
      <c r="Q409" s="139" t="str">
        <f t="shared" si="38"/>
        <v/>
      </c>
      <c r="AA409" s="139" t="s">
        <v>1603</v>
      </c>
      <c r="AB409" s="139" t="s">
        <v>1604</v>
      </c>
    </row>
    <row r="410" spans="1:28">
      <c r="A410" s="149"/>
      <c r="B410" s="144" t="str">
        <f t="shared" si="36"/>
        <v/>
      </c>
      <c r="C410" s="149"/>
      <c r="D410" s="144" t="str">
        <f t="shared" si="35"/>
        <v/>
      </c>
      <c r="E410" s="183"/>
      <c r="F410" s="144" t="str">
        <f t="shared" si="39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7"/>
        <v/>
      </c>
      <c r="Q410" s="139" t="str">
        <f t="shared" si="38"/>
        <v/>
      </c>
      <c r="AA410" s="139" t="s">
        <v>1605</v>
      </c>
      <c r="AB410" s="139" t="s">
        <v>1606</v>
      </c>
    </row>
    <row r="411" spans="1:28">
      <c r="A411" s="149"/>
      <c r="B411" s="144" t="str">
        <f t="shared" si="36"/>
        <v/>
      </c>
      <c r="C411" s="149"/>
      <c r="D411" s="144" t="str">
        <f t="shared" si="35"/>
        <v/>
      </c>
      <c r="E411" s="183"/>
      <c r="F411" s="144" t="str">
        <f t="shared" si="39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7"/>
        <v/>
      </c>
      <c r="Q411" s="139" t="str">
        <f t="shared" si="38"/>
        <v/>
      </c>
      <c r="AA411" s="139" t="s">
        <v>1607</v>
      </c>
      <c r="AB411" s="139" t="s">
        <v>1608</v>
      </c>
    </row>
    <row r="412" spans="1:28">
      <c r="A412" s="149"/>
      <c r="B412" s="144" t="str">
        <f t="shared" si="36"/>
        <v/>
      </c>
      <c r="C412" s="149"/>
      <c r="D412" s="144" t="str">
        <f t="shared" si="35"/>
        <v/>
      </c>
      <c r="E412" s="183"/>
      <c r="F412" s="144" t="str">
        <f t="shared" si="39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7"/>
        <v/>
      </c>
      <c r="Q412" s="139" t="str">
        <f t="shared" si="38"/>
        <v/>
      </c>
      <c r="AA412" s="139" t="s">
        <v>1609</v>
      </c>
      <c r="AB412" s="139" t="s">
        <v>1610</v>
      </c>
    </row>
    <row r="413" spans="1:28">
      <c r="A413" s="149"/>
      <c r="B413" s="144" t="str">
        <f t="shared" si="36"/>
        <v/>
      </c>
      <c r="C413" s="149"/>
      <c r="D413" s="144" t="str">
        <f t="shared" si="35"/>
        <v/>
      </c>
      <c r="E413" s="183"/>
      <c r="F413" s="144" t="str">
        <f t="shared" si="39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7"/>
        <v/>
      </c>
      <c r="Q413" s="139" t="str">
        <f t="shared" si="38"/>
        <v/>
      </c>
      <c r="AA413" s="139" t="s">
        <v>1611</v>
      </c>
      <c r="AB413" s="139" t="s">
        <v>1612</v>
      </c>
    </row>
    <row r="414" spans="1:28">
      <c r="A414" s="149"/>
      <c r="B414" s="144" t="str">
        <f t="shared" si="36"/>
        <v/>
      </c>
      <c r="C414" s="149"/>
      <c r="D414" s="144" t="str">
        <f t="shared" si="35"/>
        <v/>
      </c>
      <c r="E414" s="183"/>
      <c r="F414" s="144" t="str">
        <f t="shared" si="39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7"/>
        <v/>
      </c>
      <c r="Q414" s="139" t="str">
        <f t="shared" si="38"/>
        <v/>
      </c>
      <c r="AA414" s="139" t="s">
        <v>1613</v>
      </c>
      <c r="AB414" s="139" t="s">
        <v>1614</v>
      </c>
    </row>
    <row r="415" spans="1:28">
      <c r="A415" s="149"/>
      <c r="B415" s="144" t="str">
        <f t="shared" si="36"/>
        <v/>
      </c>
      <c r="C415" s="149"/>
      <c r="D415" s="144" t="str">
        <f t="shared" si="35"/>
        <v/>
      </c>
      <c r="E415" s="183"/>
      <c r="F415" s="144" t="str">
        <f t="shared" si="39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7"/>
        <v/>
      </c>
      <c r="Q415" s="139" t="str">
        <f t="shared" si="38"/>
        <v/>
      </c>
      <c r="AA415" s="139" t="s">
        <v>1615</v>
      </c>
      <c r="AB415" s="139" t="s">
        <v>1616</v>
      </c>
    </row>
    <row r="416" spans="1:28">
      <c r="A416" s="149"/>
      <c r="B416" s="144" t="str">
        <f t="shared" si="36"/>
        <v/>
      </c>
      <c r="C416" s="149"/>
      <c r="D416" s="144" t="str">
        <f t="shared" si="35"/>
        <v/>
      </c>
      <c r="E416" s="183"/>
      <c r="F416" s="144" t="str">
        <f t="shared" si="39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7"/>
        <v/>
      </c>
      <c r="Q416" s="139" t="str">
        <f t="shared" si="38"/>
        <v/>
      </c>
      <c r="AA416" s="139" t="s">
        <v>1617</v>
      </c>
      <c r="AB416" s="139" t="s">
        <v>1618</v>
      </c>
    </row>
    <row r="417" spans="1:28">
      <c r="A417" s="149"/>
      <c r="B417" s="144" t="str">
        <f t="shared" si="36"/>
        <v/>
      </c>
      <c r="C417" s="149"/>
      <c r="D417" s="144" t="str">
        <f t="shared" si="35"/>
        <v/>
      </c>
      <c r="E417" s="183"/>
      <c r="F417" s="144" t="str">
        <f t="shared" si="39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7"/>
        <v/>
      </c>
      <c r="Q417" s="139" t="str">
        <f t="shared" si="38"/>
        <v/>
      </c>
      <c r="AA417" s="139" t="s">
        <v>1619</v>
      </c>
      <c r="AB417" s="139" t="s">
        <v>1620</v>
      </c>
    </row>
    <row r="418" spans="1:28">
      <c r="A418" s="149"/>
      <c r="B418" s="144" t="str">
        <f t="shared" si="36"/>
        <v/>
      </c>
      <c r="C418" s="149"/>
      <c r="D418" s="144" t="str">
        <f t="shared" si="35"/>
        <v/>
      </c>
      <c r="E418" s="183"/>
      <c r="F418" s="144" t="str">
        <f t="shared" si="39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7"/>
        <v/>
      </c>
      <c r="Q418" s="139" t="str">
        <f t="shared" si="38"/>
        <v/>
      </c>
      <c r="AA418" s="139" t="s">
        <v>1621</v>
      </c>
      <c r="AB418" s="139" t="s">
        <v>1622</v>
      </c>
    </row>
    <row r="419" spans="1:28">
      <c r="A419" s="149"/>
      <c r="B419" s="144" t="str">
        <f t="shared" si="36"/>
        <v/>
      </c>
      <c r="C419" s="149"/>
      <c r="D419" s="144" t="str">
        <f t="shared" si="35"/>
        <v/>
      </c>
      <c r="E419" s="183"/>
      <c r="F419" s="144" t="str">
        <f t="shared" si="39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7"/>
        <v/>
      </c>
      <c r="Q419" s="139" t="str">
        <f t="shared" si="38"/>
        <v/>
      </c>
      <c r="AA419" s="139" t="s">
        <v>1623</v>
      </c>
      <c r="AB419" s="139" t="s">
        <v>1624</v>
      </c>
    </row>
    <row r="420" spans="1:28">
      <c r="A420" s="149"/>
      <c r="B420" s="144" t="str">
        <f t="shared" si="36"/>
        <v/>
      </c>
      <c r="C420" s="149"/>
      <c r="D420" s="144" t="str">
        <f t="shared" si="35"/>
        <v/>
      </c>
      <c r="E420" s="183"/>
      <c r="F420" s="144" t="str">
        <f t="shared" si="39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7"/>
        <v/>
      </c>
      <c r="Q420" s="139" t="str">
        <f t="shared" si="38"/>
        <v/>
      </c>
      <c r="AA420" s="139" t="s">
        <v>1625</v>
      </c>
      <c r="AB420" s="139" t="s">
        <v>1626</v>
      </c>
    </row>
    <row r="421" spans="1:28">
      <c r="A421" s="149"/>
      <c r="B421" s="144" t="str">
        <f t="shared" si="36"/>
        <v/>
      </c>
      <c r="C421" s="149"/>
      <c r="D421" s="144" t="str">
        <f t="shared" ref="D421:D484" si="40">IFERROR(VLOOKUP(C421,$U$5:$W$126,2,FALSE),"")</f>
        <v/>
      </c>
      <c r="E421" s="183"/>
      <c r="F421" s="144" t="str">
        <f t="shared" si="39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7"/>
        <v/>
      </c>
      <c r="Q421" s="139" t="str">
        <f t="shared" si="38"/>
        <v/>
      </c>
      <c r="AA421" s="139" t="s">
        <v>1627</v>
      </c>
      <c r="AB421" s="139" t="s">
        <v>1628</v>
      </c>
    </row>
    <row r="422" spans="1:28">
      <c r="A422" s="149"/>
      <c r="B422" s="144" t="str">
        <f t="shared" si="36"/>
        <v/>
      </c>
      <c r="C422" s="149"/>
      <c r="D422" s="144" t="str">
        <f t="shared" si="40"/>
        <v/>
      </c>
      <c r="E422" s="183"/>
      <c r="F422" s="144" t="str">
        <f t="shared" si="39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7"/>
        <v/>
      </c>
      <c r="Q422" s="139" t="str">
        <f t="shared" si="38"/>
        <v/>
      </c>
      <c r="AA422" s="139" t="s">
        <v>1629</v>
      </c>
      <c r="AB422" s="139" t="s">
        <v>1630</v>
      </c>
    </row>
    <row r="423" spans="1:28">
      <c r="A423" s="149"/>
      <c r="B423" s="144" t="str">
        <f t="shared" si="36"/>
        <v/>
      </c>
      <c r="C423" s="149"/>
      <c r="D423" s="144" t="str">
        <f t="shared" si="40"/>
        <v/>
      </c>
      <c r="E423" s="183"/>
      <c r="F423" s="144" t="str">
        <f t="shared" si="39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7"/>
        <v/>
      </c>
      <c r="Q423" s="139" t="str">
        <f t="shared" si="38"/>
        <v/>
      </c>
      <c r="AA423" s="139" t="s">
        <v>1631</v>
      </c>
      <c r="AB423" s="139" t="s">
        <v>1632</v>
      </c>
    </row>
    <row r="424" spans="1:28">
      <c r="A424" s="149"/>
      <c r="B424" s="144" t="str">
        <f t="shared" si="36"/>
        <v/>
      </c>
      <c r="C424" s="149"/>
      <c r="D424" s="144" t="str">
        <f t="shared" si="40"/>
        <v/>
      </c>
      <c r="E424" s="183"/>
      <c r="F424" s="144" t="str">
        <f t="shared" si="39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7"/>
        <v/>
      </c>
      <c r="Q424" s="139" t="str">
        <f t="shared" si="38"/>
        <v/>
      </c>
      <c r="AA424" s="139" t="s">
        <v>1633</v>
      </c>
      <c r="AB424" s="139" t="s">
        <v>1634</v>
      </c>
    </row>
    <row r="425" spans="1:28">
      <c r="A425" s="149"/>
      <c r="B425" s="144" t="str">
        <f t="shared" si="36"/>
        <v/>
      </c>
      <c r="C425" s="149"/>
      <c r="D425" s="144" t="str">
        <f t="shared" si="40"/>
        <v/>
      </c>
      <c r="E425" s="183"/>
      <c r="F425" s="144" t="str">
        <f t="shared" si="39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7"/>
        <v/>
      </c>
      <c r="Q425" s="139" t="str">
        <f t="shared" si="38"/>
        <v/>
      </c>
      <c r="AA425" s="139" t="s">
        <v>1635</v>
      </c>
      <c r="AB425" s="139" t="s">
        <v>1636</v>
      </c>
    </row>
    <row r="426" spans="1:28">
      <c r="A426" s="149"/>
      <c r="B426" s="144" t="str">
        <f t="shared" si="36"/>
        <v/>
      </c>
      <c r="C426" s="149"/>
      <c r="D426" s="144" t="str">
        <f t="shared" si="40"/>
        <v/>
      </c>
      <c r="E426" s="183"/>
      <c r="F426" s="144" t="str">
        <f t="shared" si="39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7"/>
        <v/>
      </c>
      <c r="Q426" s="139" t="str">
        <f t="shared" si="38"/>
        <v/>
      </c>
      <c r="AA426" s="139" t="s">
        <v>1637</v>
      </c>
      <c r="AB426" s="139" t="s">
        <v>1638</v>
      </c>
    </row>
    <row r="427" spans="1:28">
      <c r="A427" s="149"/>
      <c r="B427" s="144" t="str">
        <f t="shared" ref="B427:B490" si="41">IFERROR(VLOOKUP(A427,$R$8:$S$23,2,FALSE),"")</f>
        <v/>
      </c>
      <c r="C427" s="149"/>
      <c r="D427" s="144" t="str">
        <f t="shared" si="40"/>
        <v/>
      </c>
      <c r="E427" s="183"/>
      <c r="F427" s="144" t="str">
        <f t="shared" si="39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7"/>
        <v/>
      </c>
      <c r="Q427" s="139" t="str">
        <f t="shared" si="38"/>
        <v/>
      </c>
      <c r="AA427" s="139" t="s">
        <v>1639</v>
      </c>
      <c r="AB427" s="139" t="s">
        <v>1640</v>
      </c>
    </row>
    <row r="428" spans="1:28">
      <c r="A428" s="149"/>
      <c r="B428" s="144" t="str">
        <f t="shared" si="41"/>
        <v/>
      </c>
      <c r="C428" s="149"/>
      <c r="D428" s="144" t="str">
        <f t="shared" si="40"/>
        <v/>
      </c>
      <c r="E428" s="183"/>
      <c r="F428" s="144" t="str">
        <f t="shared" si="39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7"/>
        <v/>
      </c>
      <c r="Q428" s="139" t="str">
        <f t="shared" si="38"/>
        <v/>
      </c>
      <c r="AA428" s="139" t="s">
        <v>1641</v>
      </c>
      <c r="AB428" s="139" t="s">
        <v>1642</v>
      </c>
    </row>
    <row r="429" spans="1:28">
      <c r="A429" s="149"/>
      <c r="B429" s="144" t="str">
        <f t="shared" si="41"/>
        <v/>
      </c>
      <c r="C429" s="149"/>
      <c r="D429" s="144" t="str">
        <f t="shared" si="40"/>
        <v/>
      </c>
      <c r="E429" s="183"/>
      <c r="F429" s="144" t="str">
        <f t="shared" si="39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7"/>
        <v/>
      </c>
      <c r="Q429" s="139" t="str">
        <f t="shared" si="38"/>
        <v/>
      </c>
      <c r="AA429" s="139" t="s">
        <v>1643</v>
      </c>
      <c r="AB429" s="139" t="s">
        <v>1644</v>
      </c>
    </row>
    <row r="430" spans="1:28">
      <c r="A430" s="149"/>
      <c r="B430" s="144" t="str">
        <f t="shared" si="41"/>
        <v/>
      </c>
      <c r="C430" s="149"/>
      <c r="D430" s="144" t="str">
        <f t="shared" si="40"/>
        <v/>
      </c>
      <c r="E430" s="183"/>
      <c r="F430" s="144" t="str">
        <f t="shared" si="39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7"/>
        <v/>
      </c>
      <c r="Q430" s="139" t="str">
        <f t="shared" si="38"/>
        <v/>
      </c>
      <c r="AA430" s="139" t="s">
        <v>1645</v>
      </c>
      <c r="AB430" s="139" t="s">
        <v>1646</v>
      </c>
    </row>
    <row r="431" spans="1:28">
      <c r="A431" s="149"/>
      <c r="B431" s="144" t="str">
        <f t="shared" si="41"/>
        <v/>
      </c>
      <c r="C431" s="149"/>
      <c r="D431" s="144" t="str">
        <f t="shared" si="40"/>
        <v/>
      </c>
      <c r="E431" s="183"/>
      <c r="F431" s="144" t="str">
        <f t="shared" si="39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7"/>
        <v/>
      </c>
      <c r="Q431" s="139" t="str">
        <f t="shared" si="38"/>
        <v/>
      </c>
      <c r="AA431" s="139" t="s">
        <v>1647</v>
      </c>
      <c r="AB431" s="139" t="s">
        <v>1648</v>
      </c>
    </row>
    <row r="432" spans="1:28">
      <c r="A432" s="149"/>
      <c r="B432" s="144" t="str">
        <f t="shared" si="41"/>
        <v/>
      </c>
      <c r="C432" s="149"/>
      <c r="D432" s="144" t="str">
        <f t="shared" si="40"/>
        <v/>
      </c>
      <c r="E432" s="183"/>
      <c r="F432" s="144" t="str">
        <f t="shared" si="39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7"/>
        <v/>
      </c>
      <c r="Q432" s="139" t="str">
        <f t="shared" si="38"/>
        <v/>
      </c>
      <c r="AA432" s="139" t="s">
        <v>1649</v>
      </c>
      <c r="AB432" s="139" t="s">
        <v>1650</v>
      </c>
    </row>
    <row r="433" spans="1:28">
      <c r="A433" s="149"/>
      <c r="B433" s="144" t="str">
        <f t="shared" si="41"/>
        <v/>
      </c>
      <c r="C433" s="149"/>
      <c r="D433" s="144" t="str">
        <f t="shared" si="40"/>
        <v/>
      </c>
      <c r="E433" s="183"/>
      <c r="F433" s="144" t="str">
        <f t="shared" si="39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7"/>
        <v/>
      </c>
      <c r="Q433" s="139" t="str">
        <f t="shared" si="38"/>
        <v/>
      </c>
      <c r="AA433" s="139" t="s">
        <v>1651</v>
      </c>
      <c r="AB433" s="139" t="s">
        <v>1652</v>
      </c>
    </row>
    <row r="434" spans="1:28">
      <c r="A434" s="149"/>
      <c r="B434" s="144" t="str">
        <f t="shared" si="41"/>
        <v/>
      </c>
      <c r="C434" s="149"/>
      <c r="D434" s="144" t="str">
        <f t="shared" si="40"/>
        <v/>
      </c>
      <c r="E434" s="183"/>
      <c r="F434" s="144" t="str">
        <f t="shared" si="39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7"/>
        <v/>
      </c>
      <c r="Q434" s="139" t="str">
        <f t="shared" si="38"/>
        <v/>
      </c>
      <c r="AA434" s="139" t="s">
        <v>1653</v>
      </c>
      <c r="AB434" s="139" t="s">
        <v>1654</v>
      </c>
    </row>
    <row r="435" spans="1:28">
      <c r="A435" s="149"/>
      <c r="B435" s="144" t="str">
        <f t="shared" si="41"/>
        <v/>
      </c>
      <c r="C435" s="149"/>
      <c r="D435" s="144" t="str">
        <f t="shared" si="40"/>
        <v/>
      </c>
      <c r="E435" s="183"/>
      <c r="F435" s="144" t="str">
        <f t="shared" si="39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7"/>
        <v/>
      </c>
      <c r="Q435" s="139" t="str">
        <f t="shared" si="38"/>
        <v/>
      </c>
      <c r="AA435" s="139" t="s">
        <v>1655</v>
      </c>
      <c r="AB435" s="139" t="s">
        <v>1656</v>
      </c>
    </row>
    <row r="436" spans="1:28">
      <c r="A436" s="149"/>
      <c r="B436" s="144" t="str">
        <f t="shared" si="41"/>
        <v/>
      </c>
      <c r="C436" s="149"/>
      <c r="D436" s="144" t="str">
        <f t="shared" si="40"/>
        <v/>
      </c>
      <c r="E436" s="183"/>
      <c r="F436" s="144" t="str">
        <f t="shared" si="39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7"/>
        <v/>
      </c>
      <c r="Q436" s="139" t="str">
        <f t="shared" si="38"/>
        <v/>
      </c>
      <c r="AA436" s="139" t="s">
        <v>1657</v>
      </c>
      <c r="AB436" s="139" t="s">
        <v>1658</v>
      </c>
    </row>
    <row r="437" spans="1:28">
      <c r="A437" s="149"/>
      <c r="B437" s="144" t="str">
        <f t="shared" si="41"/>
        <v/>
      </c>
      <c r="C437" s="149"/>
      <c r="D437" s="144" t="str">
        <f t="shared" si="40"/>
        <v/>
      </c>
      <c r="E437" s="183"/>
      <c r="F437" s="144" t="str">
        <f t="shared" si="39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7"/>
        <v/>
      </c>
      <c r="Q437" s="139" t="str">
        <f t="shared" si="38"/>
        <v/>
      </c>
      <c r="AA437" s="139" t="s">
        <v>1659</v>
      </c>
      <c r="AB437" s="139" t="s">
        <v>1660</v>
      </c>
    </row>
    <row r="438" spans="1:28">
      <c r="A438" s="149"/>
      <c r="B438" s="144" t="str">
        <f t="shared" si="41"/>
        <v/>
      </c>
      <c r="C438" s="149"/>
      <c r="D438" s="144" t="str">
        <f t="shared" si="40"/>
        <v/>
      </c>
      <c r="E438" s="183"/>
      <c r="F438" s="144" t="str">
        <f t="shared" si="39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7"/>
        <v/>
      </c>
      <c r="Q438" s="139" t="str">
        <f t="shared" si="38"/>
        <v/>
      </c>
      <c r="AA438" s="139" t="s">
        <v>1661</v>
      </c>
      <c r="AB438" s="139" t="s">
        <v>1662</v>
      </c>
    </row>
    <row r="439" spans="1:28">
      <c r="A439" s="149"/>
      <c r="B439" s="144" t="str">
        <f t="shared" si="41"/>
        <v/>
      </c>
      <c r="C439" s="149"/>
      <c r="D439" s="144" t="str">
        <f t="shared" si="40"/>
        <v/>
      </c>
      <c r="E439" s="183"/>
      <c r="F439" s="144" t="str">
        <f t="shared" si="39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7"/>
        <v/>
      </c>
      <c r="Q439" s="139" t="str">
        <f t="shared" si="38"/>
        <v/>
      </c>
      <c r="AA439" s="139" t="s">
        <v>1663</v>
      </c>
      <c r="AB439" s="139" t="s">
        <v>1664</v>
      </c>
    </row>
    <row r="440" spans="1:28">
      <c r="A440" s="149"/>
      <c r="B440" s="144" t="str">
        <f t="shared" si="41"/>
        <v/>
      </c>
      <c r="C440" s="149"/>
      <c r="D440" s="144" t="str">
        <f t="shared" si="40"/>
        <v/>
      </c>
      <c r="E440" s="183"/>
      <c r="F440" s="144" t="str">
        <f t="shared" si="39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7"/>
        <v/>
      </c>
      <c r="Q440" s="139" t="str">
        <f t="shared" si="38"/>
        <v/>
      </c>
      <c r="AA440" s="139" t="s">
        <v>1665</v>
      </c>
      <c r="AB440" s="139" t="s">
        <v>1666</v>
      </c>
    </row>
    <row r="441" spans="1:28">
      <c r="A441" s="149"/>
      <c r="B441" s="144" t="str">
        <f t="shared" si="41"/>
        <v/>
      </c>
      <c r="C441" s="149"/>
      <c r="D441" s="144" t="str">
        <f t="shared" si="40"/>
        <v/>
      </c>
      <c r="E441" s="183"/>
      <c r="F441" s="144" t="str">
        <f t="shared" si="39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7"/>
        <v/>
      </c>
      <c r="Q441" s="139" t="str">
        <f t="shared" si="38"/>
        <v/>
      </c>
      <c r="AA441" s="139" t="s">
        <v>1667</v>
      </c>
      <c r="AB441" s="139" t="s">
        <v>1668</v>
      </c>
    </row>
    <row r="442" spans="1:28">
      <c r="A442" s="149"/>
      <c r="B442" s="144" t="str">
        <f t="shared" si="41"/>
        <v/>
      </c>
      <c r="C442" s="149"/>
      <c r="D442" s="144" t="str">
        <f t="shared" si="40"/>
        <v/>
      </c>
      <c r="E442" s="183"/>
      <c r="F442" s="144" t="str">
        <f t="shared" si="39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7"/>
        <v/>
      </c>
      <c r="Q442" s="139" t="str">
        <f t="shared" si="38"/>
        <v/>
      </c>
      <c r="AA442" s="139" t="s">
        <v>1669</v>
      </c>
      <c r="AB442" s="139" t="s">
        <v>1670</v>
      </c>
    </row>
    <row r="443" spans="1:28">
      <c r="A443" s="149"/>
      <c r="B443" s="144" t="str">
        <f t="shared" si="41"/>
        <v/>
      </c>
      <c r="C443" s="149"/>
      <c r="D443" s="144" t="str">
        <f t="shared" si="40"/>
        <v/>
      </c>
      <c r="E443" s="183"/>
      <c r="F443" s="144" t="str">
        <f t="shared" si="39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7"/>
        <v/>
      </c>
      <c r="Q443" s="139" t="str">
        <f t="shared" si="38"/>
        <v/>
      </c>
      <c r="AA443" s="139" t="s">
        <v>1671</v>
      </c>
      <c r="AB443" s="139" t="s">
        <v>1672</v>
      </c>
    </row>
    <row r="444" spans="1:28">
      <c r="A444" s="149"/>
      <c r="B444" s="144" t="str">
        <f t="shared" si="41"/>
        <v/>
      </c>
      <c r="C444" s="149"/>
      <c r="D444" s="144" t="str">
        <f t="shared" si="40"/>
        <v/>
      </c>
      <c r="E444" s="183"/>
      <c r="F444" s="144" t="str">
        <f t="shared" si="39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7"/>
        <v/>
      </c>
      <c r="Q444" s="139" t="str">
        <f t="shared" si="38"/>
        <v/>
      </c>
      <c r="AA444" s="139" t="s">
        <v>1673</v>
      </c>
      <c r="AB444" s="139" t="s">
        <v>1674</v>
      </c>
    </row>
    <row r="445" spans="1:28">
      <c r="A445" s="149"/>
      <c r="B445" s="144" t="str">
        <f t="shared" si="41"/>
        <v/>
      </c>
      <c r="C445" s="149"/>
      <c r="D445" s="144" t="str">
        <f t="shared" si="40"/>
        <v/>
      </c>
      <c r="E445" s="183"/>
      <c r="F445" s="144" t="str">
        <f t="shared" si="39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7"/>
        <v/>
      </c>
      <c r="Q445" s="139" t="str">
        <f t="shared" si="38"/>
        <v/>
      </c>
      <c r="AA445" s="139" t="s">
        <v>1675</v>
      </c>
      <c r="AB445" s="139" t="s">
        <v>1676</v>
      </c>
    </row>
    <row r="446" spans="1:28">
      <c r="A446" s="149"/>
      <c r="B446" s="144" t="str">
        <f t="shared" si="41"/>
        <v/>
      </c>
      <c r="C446" s="149"/>
      <c r="D446" s="144" t="str">
        <f t="shared" si="40"/>
        <v/>
      </c>
      <c r="E446" s="183"/>
      <c r="F446" s="144" t="str">
        <f t="shared" si="39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7"/>
        <v/>
      </c>
      <c r="Q446" s="139" t="str">
        <f t="shared" si="38"/>
        <v/>
      </c>
      <c r="AA446" s="139" t="s">
        <v>1677</v>
      </c>
      <c r="AB446" s="139" t="s">
        <v>1678</v>
      </c>
    </row>
    <row r="447" spans="1:28">
      <c r="A447" s="149"/>
      <c r="B447" s="144" t="str">
        <f t="shared" si="41"/>
        <v/>
      </c>
      <c r="C447" s="149"/>
      <c r="D447" s="144" t="str">
        <f t="shared" si="40"/>
        <v/>
      </c>
      <c r="E447" s="183"/>
      <c r="F447" s="144" t="str">
        <f t="shared" si="39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7"/>
        <v/>
      </c>
      <c r="Q447" s="139" t="str">
        <f t="shared" si="38"/>
        <v/>
      </c>
      <c r="AA447" s="139" t="s">
        <v>1679</v>
      </c>
      <c r="AB447" s="139" t="s">
        <v>1680</v>
      </c>
    </row>
    <row r="448" spans="1:28">
      <c r="A448" s="149"/>
      <c r="B448" s="144" t="str">
        <f t="shared" si="41"/>
        <v/>
      </c>
      <c r="C448" s="149"/>
      <c r="D448" s="144" t="str">
        <f t="shared" si="40"/>
        <v/>
      </c>
      <c r="E448" s="183"/>
      <c r="F448" s="144" t="str">
        <f t="shared" si="39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7"/>
        <v/>
      </c>
      <c r="Q448" s="139" t="str">
        <f t="shared" si="38"/>
        <v/>
      </c>
      <c r="AA448" s="139" t="s">
        <v>1681</v>
      </c>
      <c r="AB448" s="139" t="s">
        <v>1682</v>
      </c>
    </row>
    <row r="449" spans="1:28">
      <c r="A449" s="149"/>
      <c r="B449" s="144" t="str">
        <f t="shared" si="41"/>
        <v/>
      </c>
      <c r="C449" s="149"/>
      <c r="D449" s="144" t="str">
        <f t="shared" si="40"/>
        <v/>
      </c>
      <c r="E449" s="183"/>
      <c r="F449" s="144" t="str">
        <f t="shared" si="39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ref="P449:P498" si="42">LEFT(C449,3)</f>
        <v/>
      </c>
      <c r="Q449" s="139" t="str">
        <f t="shared" ref="Q449:Q498" si="43">LEFT(C449,2)</f>
        <v/>
      </c>
      <c r="AA449" s="139" t="s">
        <v>1683</v>
      </c>
      <c r="AB449" s="139" t="s">
        <v>1684</v>
      </c>
    </row>
    <row r="450" spans="1:28">
      <c r="A450" s="149"/>
      <c r="B450" s="144" t="str">
        <f t="shared" si="41"/>
        <v/>
      </c>
      <c r="C450" s="149"/>
      <c r="D450" s="144" t="str">
        <f t="shared" si="40"/>
        <v/>
      </c>
      <c r="E450" s="183"/>
      <c r="F450" s="144" t="str">
        <f t="shared" si="39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42"/>
        <v/>
      </c>
      <c r="Q450" s="139" t="str">
        <f t="shared" si="43"/>
        <v/>
      </c>
      <c r="AA450" s="139" t="s">
        <v>1685</v>
      </c>
      <c r="AB450" s="139" t="s">
        <v>1686</v>
      </c>
    </row>
    <row r="451" spans="1:28">
      <c r="A451" s="149"/>
      <c r="B451" s="144" t="str">
        <f t="shared" si="41"/>
        <v/>
      </c>
      <c r="C451" s="149"/>
      <c r="D451" s="144" t="str">
        <f t="shared" si="40"/>
        <v/>
      </c>
      <c r="E451" s="183"/>
      <c r="F451" s="144" t="str">
        <f t="shared" si="39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42"/>
        <v/>
      </c>
      <c r="Q451" s="139" t="str">
        <f t="shared" si="43"/>
        <v/>
      </c>
      <c r="AA451" s="139" t="s">
        <v>1687</v>
      </c>
      <c r="AB451" s="139" t="s">
        <v>1688</v>
      </c>
    </row>
    <row r="452" spans="1:28">
      <c r="A452" s="149"/>
      <c r="B452" s="144" t="str">
        <f t="shared" si="41"/>
        <v/>
      </c>
      <c r="C452" s="149"/>
      <c r="D452" s="144" t="str">
        <f t="shared" si="40"/>
        <v/>
      </c>
      <c r="E452" s="183"/>
      <c r="F452" s="144" t="str">
        <f t="shared" si="39"/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si="42"/>
        <v/>
      </c>
      <c r="Q452" s="139" t="str">
        <f t="shared" si="43"/>
        <v/>
      </c>
      <c r="AA452" s="139" t="s">
        <v>1689</v>
      </c>
      <c r="AB452" s="139" t="s">
        <v>1690</v>
      </c>
    </row>
    <row r="453" spans="1:28">
      <c r="A453" s="149"/>
      <c r="B453" s="144" t="str">
        <f t="shared" si="41"/>
        <v/>
      </c>
      <c r="C453" s="149"/>
      <c r="D453" s="144" t="str">
        <f t="shared" si="40"/>
        <v/>
      </c>
      <c r="E453" s="183"/>
      <c r="F453" s="144" t="str">
        <f t="shared" si="39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2"/>
        <v/>
      </c>
      <c r="Q453" s="139" t="str">
        <f t="shared" si="43"/>
        <v/>
      </c>
      <c r="AA453" s="139" t="s">
        <v>1691</v>
      </c>
      <c r="AB453" s="139" t="s">
        <v>1692</v>
      </c>
    </row>
    <row r="454" spans="1:28">
      <c r="A454" s="149"/>
      <c r="B454" s="144" t="str">
        <f t="shared" si="41"/>
        <v/>
      </c>
      <c r="C454" s="149"/>
      <c r="D454" s="144" t="str">
        <f t="shared" si="40"/>
        <v/>
      </c>
      <c r="E454" s="183"/>
      <c r="F454" s="144" t="str">
        <f t="shared" si="39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2"/>
        <v/>
      </c>
      <c r="Q454" s="139" t="str">
        <f t="shared" si="43"/>
        <v/>
      </c>
      <c r="AA454" s="139" t="s">
        <v>1693</v>
      </c>
      <c r="AB454" s="139" t="s">
        <v>1694</v>
      </c>
    </row>
    <row r="455" spans="1:28">
      <c r="A455" s="149"/>
      <c r="B455" s="144" t="str">
        <f t="shared" si="41"/>
        <v/>
      </c>
      <c r="C455" s="149"/>
      <c r="D455" s="144" t="str">
        <f t="shared" si="40"/>
        <v/>
      </c>
      <c r="E455" s="183"/>
      <c r="F455" s="144" t="str">
        <f t="shared" si="39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2"/>
        <v/>
      </c>
      <c r="Q455" s="139" t="str">
        <f t="shared" si="43"/>
        <v/>
      </c>
      <c r="AA455" s="139" t="s">
        <v>1695</v>
      </c>
      <c r="AB455" s="139" t="s">
        <v>1696</v>
      </c>
    </row>
    <row r="456" spans="1:28">
      <c r="A456" s="149"/>
      <c r="B456" s="144" t="str">
        <f t="shared" si="41"/>
        <v/>
      </c>
      <c r="C456" s="149"/>
      <c r="D456" s="144" t="str">
        <f t="shared" si="40"/>
        <v/>
      </c>
      <c r="E456" s="183"/>
      <c r="F456" s="144" t="str">
        <f t="shared" ref="F456:F498" si="44">IFERROR(VLOOKUP(E456,$AA$8:$AB$1015,2,FALSE),"")</f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2"/>
        <v/>
      </c>
      <c r="Q456" s="139" t="str">
        <f t="shared" si="43"/>
        <v/>
      </c>
      <c r="AA456" s="139" t="s">
        <v>1697</v>
      </c>
      <c r="AB456" s="139" t="s">
        <v>1698</v>
      </c>
    </row>
    <row r="457" spans="1:28">
      <c r="A457" s="149"/>
      <c r="B457" s="144" t="str">
        <f t="shared" si="41"/>
        <v/>
      </c>
      <c r="C457" s="149"/>
      <c r="D457" s="144" t="str">
        <f t="shared" si="40"/>
        <v/>
      </c>
      <c r="E457" s="183"/>
      <c r="F457" s="144" t="str">
        <f t="shared" si="44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2"/>
        <v/>
      </c>
      <c r="Q457" s="139" t="str">
        <f t="shared" si="43"/>
        <v/>
      </c>
      <c r="AA457" s="139" t="s">
        <v>1699</v>
      </c>
      <c r="AB457" s="139" t="s">
        <v>1700</v>
      </c>
    </row>
    <row r="458" spans="1:28">
      <c r="A458" s="149"/>
      <c r="B458" s="144" t="str">
        <f t="shared" si="41"/>
        <v/>
      </c>
      <c r="C458" s="149"/>
      <c r="D458" s="144" t="str">
        <f t="shared" si="40"/>
        <v/>
      </c>
      <c r="E458" s="183"/>
      <c r="F458" s="144" t="str">
        <f t="shared" si="44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2"/>
        <v/>
      </c>
      <c r="Q458" s="139" t="str">
        <f t="shared" si="43"/>
        <v/>
      </c>
      <c r="AA458" s="139" t="s">
        <v>1701</v>
      </c>
      <c r="AB458" s="139" t="s">
        <v>1702</v>
      </c>
    </row>
    <row r="459" spans="1:28">
      <c r="A459" s="149"/>
      <c r="B459" s="144" t="str">
        <f t="shared" si="41"/>
        <v/>
      </c>
      <c r="C459" s="149"/>
      <c r="D459" s="144" t="str">
        <f t="shared" si="40"/>
        <v/>
      </c>
      <c r="E459" s="183"/>
      <c r="F459" s="144" t="str">
        <f t="shared" si="44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2"/>
        <v/>
      </c>
      <c r="Q459" s="139" t="str">
        <f t="shared" si="43"/>
        <v/>
      </c>
      <c r="AA459" s="139" t="s">
        <v>1703</v>
      </c>
      <c r="AB459" s="139" t="s">
        <v>1704</v>
      </c>
    </row>
    <row r="460" spans="1:28">
      <c r="A460" s="149"/>
      <c r="B460" s="144" t="str">
        <f t="shared" si="41"/>
        <v/>
      </c>
      <c r="C460" s="149"/>
      <c r="D460" s="144" t="str">
        <f t="shared" si="40"/>
        <v/>
      </c>
      <c r="E460" s="183"/>
      <c r="F460" s="144" t="str">
        <f t="shared" si="44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2"/>
        <v/>
      </c>
      <c r="Q460" s="139" t="str">
        <f t="shared" si="43"/>
        <v/>
      </c>
      <c r="AA460" s="139" t="s">
        <v>1705</v>
      </c>
      <c r="AB460" s="139" t="s">
        <v>1706</v>
      </c>
    </row>
    <row r="461" spans="1:28">
      <c r="A461" s="149"/>
      <c r="B461" s="144" t="str">
        <f t="shared" si="41"/>
        <v/>
      </c>
      <c r="C461" s="149"/>
      <c r="D461" s="144" t="str">
        <f t="shared" si="40"/>
        <v/>
      </c>
      <c r="E461" s="183"/>
      <c r="F461" s="144" t="str">
        <f t="shared" si="44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2"/>
        <v/>
      </c>
      <c r="Q461" s="139" t="str">
        <f t="shared" si="43"/>
        <v/>
      </c>
      <c r="AA461" s="139" t="s">
        <v>1707</v>
      </c>
      <c r="AB461" s="139" t="s">
        <v>1708</v>
      </c>
    </row>
    <row r="462" spans="1:28">
      <c r="A462" s="149"/>
      <c r="B462" s="144" t="str">
        <f t="shared" si="41"/>
        <v/>
      </c>
      <c r="C462" s="149"/>
      <c r="D462" s="144" t="str">
        <f t="shared" si="40"/>
        <v/>
      </c>
      <c r="E462" s="183"/>
      <c r="F462" s="144" t="str">
        <f t="shared" si="44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2"/>
        <v/>
      </c>
      <c r="Q462" s="139" t="str">
        <f t="shared" si="43"/>
        <v/>
      </c>
      <c r="AA462" s="139" t="s">
        <v>1709</v>
      </c>
      <c r="AB462" s="139" t="s">
        <v>1710</v>
      </c>
    </row>
    <row r="463" spans="1:28">
      <c r="A463" s="149"/>
      <c r="B463" s="144" t="str">
        <f t="shared" si="41"/>
        <v/>
      </c>
      <c r="C463" s="149"/>
      <c r="D463" s="144" t="str">
        <f t="shared" si="40"/>
        <v/>
      </c>
      <c r="E463" s="183"/>
      <c r="F463" s="144" t="str">
        <f t="shared" si="44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2"/>
        <v/>
      </c>
      <c r="Q463" s="139" t="str">
        <f t="shared" si="43"/>
        <v/>
      </c>
      <c r="AA463" s="139" t="s">
        <v>1711</v>
      </c>
      <c r="AB463" s="139" t="s">
        <v>1712</v>
      </c>
    </row>
    <row r="464" spans="1:28">
      <c r="A464" s="149"/>
      <c r="B464" s="144" t="str">
        <f t="shared" si="41"/>
        <v/>
      </c>
      <c r="C464" s="149"/>
      <c r="D464" s="144" t="str">
        <f t="shared" si="40"/>
        <v/>
      </c>
      <c r="E464" s="183"/>
      <c r="F464" s="144" t="str">
        <f t="shared" si="44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2"/>
        <v/>
      </c>
      <c r="Q464" s="139" t="str">
        <f t="shared" si="43"/>
        <v/>
      </c>
      <c r="AA464" s="139" t="s">
        <v>1713</v>
      </c>
      <c r="AB464" s="139" t="s">
        <v>1714</v>
      </c>
    </row>
    <row r="465" spans="1:28">
      <c r="A465" s="149"/>
      <c r="B465" s="144" t="str">
        <f t="shared" si="41"/>
        <v/>
      </c>
      <c r="C465" s="149"/>
      <c r="D465" s="144" t="str">
        <f t="shared" si="40"/>
        <v/>
      </c>
      <c r="E465" s="183"/>
      <c r="F465" s="144" t="str">
        <f t="shared" si="44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2"/>
        <v/>
      </c>
      <c r="Q465" s="139" t="str">
        <f t="shared" si="43"/>
        <v/>
      </c>
      <c r="AA465" s="139" t="s">
        <v>1715</v>
      </c>
      <c r="AB465" s="139" t="s">
        <v>1716</v>
      </c>
    </row>
    <row r="466" spans="1:28">
      <c r="A466" s="149"/>
      <c r="B466" s="144" t="str">
        <f t="shared" si="41"/>
        <v/>
      </c>
      <c r="C466" s="149"/>
      <c r="D466" s="144" t="str">
        <f t="shared" si="40"/>
        <v/>
      </c>
      <c r="E466" s="183"/>
      <c r="F466" s="144" t="str">
        <f t="shared" si="44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2"/>
        <v/>
      </c>
      <c r="Q466" s="139" t="str">
        <f t="shared" si="43"/>
        <v/>
      </c>
      <c r="AA466" s="139" t="s">
        <v>1717</v>
      </c>
      <c r="AB466" s="139" t="s">
        <v>1718</v>
      </c>
    </row>
    <row r="467" spans="1:28">
      <c r="A467" s="149"/>
      <c r="B467" s="144" t="str">
        <f t="shared" si="41"/>
        <v/>
      </c>
      <c r="C467" s="149"/>
      <c r="D467" s="144" t="str">
        <f t="shared" si="40"/>
        <v/>
      </c>
      <c r="E467" s="183"/>
      <c r="F467" s="144" t="str">
        <f t="shared" si="44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2"/>
        <v/>
      </c>
      <c r="Q467" s="139" t="str">
        <f t="shared" si="43"/>
        <v/>
      </c>
      <c r="AA467" s="139" t="s">
        <v>1719</v>
      </c>
      <c r="AB467" s="139" t="s">
        <v>1720</v>
      </c>
    </row>
    <row r="468" spans="1:28">
      <c r="A468" s="149"/>
      <c r="B468" s="144" t="str">
        <f t="shared" si="41"/>
        <v/>
      </c>
      <c r="C468" s="149"/>
      <c r="D468" s="144" t="str">
        <f t="shared" si="40"/>
        <v/>
      </c>
      <c r="E468" s="183"/>
      <c r="F468" s="144" t="str">
        <f t="shared" si="44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2"/>
        <v/>
      </c>
      <c r="Q468" s="139" t="str">
        <f t="shared" si="43"/>
        <v/>
      </c>
      <c r="AA468" s="139" t="s">
        <v>1721</v>
      </c>
      <c r="AB468" s="139" t="s">
        <v>1722</v>
      </c>
    </row>
    <row r="469" spans="1:28">
      <c r="A469" s="149"/>
      <c r="B469" s="144" t="str">
        <f t="shared" si="41"/>
        <v/>
      </c>
      <c r="C469" s="149"/>
      <c r="D469" s="144" t="str">
        <f t="shared" si="40"/>
        <v/>
      </c>
      <c r="E469" s="183"/>
      <c r="F469" s="144" t="str">
        <f t="shared" si="44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2"/>
        <v/>
      </c>
      <c r="Q469" s="139" t="str">
        <f t="shared" si="43"/>
        <v/>
      </c>
      <c r="AA469" s="139" t="s">
        <v>1723</v>
      </c>
      <c r="AB469" s="139" t="s">
        <v>1724</v>
      </c>
    </row>
    <row r="470" spans="1:28">
      <c r="A470" s="149"/>
      <c r="B470" s="144" t="str">
        <f t="shared" si="41"/>
        <v/>
      </c>
      <c r="C470" s="149"/>
      <c r="D470" s="144" t="str">
        <f t="shared" si="40"/>
        <v/>
      </c>
      <c r="E470" s="183"/>
      <c r="F470" s="144" t="str">
        <f t="shared" si="44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2"/>
        <v/>
      </c>
      <c r="Q470" s="139" t="str">
        <f t="shared" si="43"/>
        <v/>
      </c>
      <c r="AA470" s="139" t="s">
        <v>1725</v>
      </c>
      <c r="AB470" s="139" t="s">
        <v>1726</v>
      </c>
    </row>
    <row r="471" spans="1:28">
      <c r="A471" s="149"/>
      <c r="B471" s="144" t="str">
        <f t="shared" si="41"/>
        <v/>
      </c>
      <c r="C471" s="149"/>
      <c r="D471" s="144" t="str">
        <f t="shared" si="40"/>
        <v/>
      </c>
      <c r="E471" s="183"/>
      <c r="F471" s="144" t="str">
        <f t="shared" si="44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2"/>
        <v/>
      </c>
      <c r="Q471" s="139" t="str">
        <f t="shared" si="43"/>
        <v/>
      </c>
      <c r="AA471" s="139" t="s">
        <v>1727</v>
      </c>
      <c r="AB471" s="139" t="s">
        <v>1728</v>
      </c>
    </row>
    <row r="472" spans="1:28">
      <c r="A472" s="149"/>
      <c r="B472" s="144" t="str">
        <f t="shared" si="41"/>
        <v/>
      </c>
      <c r="C472" s="149"/>
      <c r="D472" s="144" t="str">
        <f t="shared" si="40"/>
        <v/>
      </c>
      <c r="E472" s="183"/>
      <c r="F472" s="144" t="str">
        <f t="shared" si="44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2"/>
        <v/>
      </c>
      <c r="Q472" s="139" t="str">
        <f t="shared" si="43"/>
        <v/>
      </c>
      <c r="AA472" s="139" t="s">
        <v>1729</v>
      </c>
      <c r="AB472" s="139" t="s">
        <v>1730</v>
      </c>
    </row>
    <row r="473" spans="1:28">
      <c r="A473" s="149"/>
      <c r="B473" s="144" t="str">
        <f t="shared" si="41"/>
        <v/>
      </c>
      <c r="C473" s="149"/>
      <c r="D473" s="144" t="str">
        <f t="shared" si="40"/>
        <v/>
      </c>
      <c r="E473" s="183"/>
      <c r="F473" s="144" t="str">
        <f t="shared" si="44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2"/>
        <v/>
      </c>
      <c r="Q473" s="139" t="str">
        <f t="shared" si="43"/>
        <v/>
      </c>
      <c r="AA473" s="139" t="s">
        <v>1731</v>
      </c>
      <c r="AB473" s="139" t="s">
        <v>1732</v>
      </c>
    </row>
    <row r="474" spans="1:28">
      <c r="A474" s="149"/>
      <c r="B474" s="144" t="str">
        <f t="shared" si="41"/>
        <v/>
      </c>
      <c r="C474" s="149"/>
      <c r="D474" s="144" t="str">
        <f t="shared" si="40"/>
        <v/>
      </c>
      <c r="E474" s="183"/>
      <c r="F474" s="144" t="str">
        <f t="shared" si="44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2"/>
        <v/>
      </c>
      <c r="Q474" s="139" t="str">
        <f t="shared" si="43"/>
        <v/>
      </c>
      <c r="AA474" s="139" t="s">
        <v>1733</v>
      </c>
      <c r="AB474" s="139" t="s">
        <v>1734</v>
      </c>
    </row>
    <row r="475" spans="1:28">
      <c r="A475" s="149"/>
      <c r="B475" s="144" t="str">
        <f t="shared" si="41"/>
        <v/>
      </c>
      <c r="C475" s="149"/>
      <c r="D475" s="144" t="str">
        <f t="shared" si="40"/>
        <v/>
      </c>
      <c r="E475" s="183"/>
      <c r="F475" s="144" t="str">
        <f t="shared" si="44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2"/>
        <v/>
      </c>
      <c r="Q475" s="139" t="str">
        <f t="shared" si="43"/>
        <v/>
      </c>
      <c r="AA475" s="139" t="s">
        <v>1735</v>
      </c>
      <c r="AB475" s="139" t="s">
        <v>1736</v>
      </c>
    </row>
    <row r="476" spans="1:28">
      <c r="A476" s="149"/>
      <c r="B476" s="144" t="str">
        <f t="shared" si="41"/>
        <v/>
      </c>
      <c r="C476" s="149"/>
      <c r="D476" s="144" t="str">
        <f t="shared" si="40"/>
        <v/>
      </c>
      <c r="E476" s="183"/>
      <c r="F476" s="144" t="str">
        <f t="shared" si="44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2"/>
        <v/>
      </c>
      <c r="Q476" s="139" t="str">
        <f t="shared" si="43"/>
        <v/>
      </c>
      <c r="AA476" s="139" t="s">
        <v>1737</v>
      </c>
      <c r="AB476" s="139" t="s">
        <v>1738</v>
      </c>
    </row>
    <row r="477" spans="1:28">
      <c r="A477" s="149"/>
      <c r="B477" s="144" t="str">
        <f t="shared" si="41"/>
        <v/>
      </c>
      <c r="C477" s="149"/>
      <c r="D477" s="144" t="str">
        <f t="shared" si="40"/>
        <v/>
      </c>
      <c r="E477" s="183"/>
      <c r="F477" s="144" t="str">
        <f t="shared" si="44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2"/>
        <v/>
      </c>
      <c r="Q477" s="139" t="str">
        <f t="shared" si="43"/>
        <v/>
      </c>
      <c r="AA477" s="139" t="s">
        <v>1739</v>
      </c>
      <c r="AB477" s="139" t="s">
        <v>1740</v>
      </c>
    </row>
    <row r="478" spans="1:28">
      <c r="A478" s="149"/>
      <c r="B478" s="144" t="str">
        <f t="shared" si="41"/>
        <v/>
      </c>
      <c r="C478" s="149"/>
      <c r="D478" s="144" t="str">
        <f t="shared" si="40"/>
        <v/>
      </c>
      <c r="E478" s="183"/>
      <c r="F478" s="144" t="str">
        <f t="shared" si="44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2"/>
        <v/>
      </c>
      <c r="Q478" s="139" t="str">
        <f t="shared" si="43"/>
        <v/>
      </c>
      <c r="AA478" s="139" t="s">
        <v>1741</v>
      </c>
      <c r="AB478" s="139" t="s">
        <v>1742</v>
      </c>
    </row>
    <row r="479" spans="1:28">
      <c r="A479" s="149"/>
      <c r="B479" s="144" t="str">
        <f t="shared" si="41"/>
        <v/>
      </c>
      <c r="C479" s="149"/>
      <c r="D479" s="144" t="str">
        <f t="shared" si="40"/>
        <v/>
      </c>
      <c r="E479" s="183"/>
      <c r="F479" s="144" t="str">
        <f t="shared" si="44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2"/>
        <v/>
      </c>
      <c r="Q479" s="139" t="str">
        <f t="shared" si="43"/>
        <v/>
      </c>
      <c r="AA479" s="139" t="s">
        <v>1743</v>
      </c>
      <c r="AB479" s="139" t="s">
        <v>1744</v>
      </c>
    </row>
    <row r="480" spans="1:28">
      <c r="A480" s="149"/>
      <c r="B480" s="144" t="str">
        <f t="shared" si="41"/>
        <v/>
      </c>
      <c r="C480" s="149"/>
      <c r="D480" s="144" t="str">
        <f t="shared" si="40"/>
        <v/>
      </c>
      <c r="E480" s="183"/>
      <c r="F480" s="144" t="str">
        <f t="shared" si="44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2"/>
        <v/>
      </c>
      <c r="Q480" s="139" t="str">
        <f t="shared" si="43"/>
        <v/>
      </c>
      <c r="AA480" s="139" t="s">
        <v>1745</v>
      </c>
      <c r="AB480" s="139" t="s">
        <v>1746</v>
      </c>
    </row>
    <row r="481" spans="1:28">
      <c r="A481" s="149"/>
      <c r="B481" s="144" t="str">
        <f t="shared" si="41"/>
        <v/>
      </c>
      <c r="C481" s="149"/>
      <c r="D481" s="144" t="str">
        <f t="shared" si="40"/>
        <v/>
      </c>
      <c r="E481" s="183"/>
      <c r="F481" s="144" t="str">
        <f t="shared" si="44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2"/>
        <v/>
      </c>
      <c r="Q481" s="139" t="str">
        <f t="shared" si="43"/>
        <v/>
      </c>
      <c r="AA481" s="139" t="s">
        <v>1747</v>
      </c>
      <c r="AB481" s="139" t="s">
        <v>1748</v>
      </c>
    </row>
    <row r="482" spans="1:28">
      <c r="A482" s="149"/>
      <c r="B482" s="144" t="str">
        <f t="shared" si="41"/>
        <v/>
      </c>
      <c r="C482" s="149"/>
      <c r="D482" s="144" t="str">
        <f t="shared" si="40"/>
        <v/>
      </c>
      <c r="E482" s="183"/>
      <c r="F482" s="144" t="str">
        <f t="shared" si="44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2"/>
        <v/>
      </c>
      <c r="Q482" s="139" t="str">
        <f t="shared" si="43"/>
        <v/>
      </c>
      <c r="AA482" s="139" t="s">
        <v>1749</v>
      </c>
      <c r="AB482" s="139" t="s">
        <v>1750</v>
      </c>
    </row>
    <row r="483" spans="1:28">
      <c r="A483" s="149"/>
      <c r="B483" s="144" t="str">
        <f t="shared" si="41"/>
        <v/>
      </c>
      <c r="C483" s="149"/>
      <c r="D483" s="144" t="str">
        <f t="shared" si="40"/>
        <v/>
      </c>
      <c r="E483" s="183"/>
      <c r="F483" s="144" t="str">
        <f t="shared" si="44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2"/>
        <v/>
      </c>
      <c r="Q483" s="139" t="str">
        <f t="shared" si="43"/>
        <v/>
      </c>
      <c r="AA483" s="139" t="s">
        <v>1751</v>
      </c>
      <c r="AB483" s="139" t="s">
        <v>1752</v>
      </c>
    </row>
    <row r="484" spans="1:28">
      <c r="A484" s="149"/>
      <c r="B484" s="144" t="str">
        <f t="shared" si="41"/>
        <v/>
      </c>
      <c r="C484" s="149"/>
      <c r="D484" s="144" t="str">
        <f t="shared" si="40"/>
        <v/>
      </c>
      <c r="E484" s="183"/>
      <c r="F484" s="144" t="str">
        <f t="shared" si="44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2"/>
        <v/>
      </c>
      <c r="Q484" s="139" t="str">
        <f t="shared" si="43"/>
        <v/>
      </c>
      <c r="AA484" s="139" t="s">
        <v>1753</v>
      </c>
      <c r="AB484" s="139" t="s">
        <v>1754</v>
      </c>
    </row>
    <row r="485" spans="1:28">
      <c r="A485" s="149"/>
      <c r="B485" s="144" t="str">
        <f t="shared" si="41"/>
        <v/>
      </c>
      <c r="C485" s="149"/>
      <c r="D485" s="144" t="str">
        <f t="shared" ref="D485:D498" si="45">IFERROR(VLOOKUP(C485,$U$5:$W$126,2,FALSE),"")</f>
        <v/>
      </c>
      <c r="E485" s="183"/>
      <c r="F485" s="144" t="str">
        <f t="shared" si="44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2"/>
        <v/>
      </c>
      <c r="Q485" s="139" t="str">
        <f t="shared" si="43"/>
        <v/>
      </c>
      <c r="AA485" s="139" t="s">
        <v>1755</v>
      </c>
      <c r="AB485" s="139" t="s">
        <v>1756</v>
      </c>
    </row>
    <row r="486" spans="1:28">
      <c r="A486" s="149"/>
      <c r="B486" s="144" t="str">
        <f t="shared" si="41"/>
        <v/>
      </c>
      <c r="C486" s="149"/>
      <c r="D486" s="144" t="str">
        <f t="shared" si="45"/>
        <v/>
      </c>
      <c r="E486" s="183"/>
      <c r="F486" s="144" t="str">
        <f t="shared" si="44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2"/>
        <v/>
      </c>
      <c r="Q486" s="139" t="str">
        <f t="shared" si="43"/>
        <v/>
      </c>
      <c r="AA486" s="139" t="s">
        <v>1757</v>
      </c>
      <c r="AB486" s="139" t="s">
        <v>1758</v>
      </c>
    </row>
    <row r="487" spans="1:28">
      <c r="A487" s="149"/>
      <c r="B487" s="144" t="str">
        <f t="shared" si="41"/>
        <v/>
      </c>
      <c r="C487" s="149"/>
      <c r="D487" s="144" t="str">
        <f t="shared" si="45"/>
        <v/>
      </c>
      <c r="E487" s="183"/>
      <c r="F487" s="144" t="str">
        <f t="shared" si="44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2"/>
        <v/>
      </c>
      <c r="Q487" s="139" t="str">
        <f t="shared" si="43"/>
        <v/>
      </c>
      <c r="AA487" s="139" t="s">
        <v>2606</v>
      </c>
      <c r="AB487" s="139" t="s">
        <v>2607</v>
      </c>
    </row>
    <row r="488" spans="1:28">
      <c r="A488" s="149"/>
      <c r="B488" s="144" t="str">
        <f t="shared" si="41"/>
        <v/>
      </c>
      <c r="C488" s="149"/>
      <c r="D488" s="144" t="str">
        <f t="shared" si="45"/>
        <v/>
      </c>
      <c r="E488" s="183"/>
      <c r="F488" s="144" t="str">
        <f t="shared" si="44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2"/>
        <v/>
      </c>
      <c r="Q488" s="139" t="str">
        <f t="shared" si="43"/>
        <v/>
      </c>
      <c r="AA488" s="139" t="s">
        <v>2608</v>
      </c>
      <c r="AB488" s="139" t="s">
        <v>2609</v>
      </c>
    </row>
    <row r="489" spans="1:28">
      <c r="A489" s="149"/>
      <c r="B489" s="144" t="str">
        <f t="shared" si="41"/>
        <v/>
      </c>
      <c r="C489" s="149"/>
      <c r="D489" s="144" t="str">
        <f t="shared" si="45"/>
        <v/>
      </c>
      <c r="E489" s="183"/>
      <c r="F489" s="144" t="str">
        <f t="shared" si="44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2"/>
        <v/>
      </c>
      <c r="Q489" s="139" t="str">
        <f t="shared" si="43"/>
        <v/>
      </c>
      <c r="AA489" s="139" t="s">
        <v>2610</v>
      </c>
      <c r="AB489" s="139" t="s">
        <v>2611</v>
      </c>
    </row>
    <row r="490" spans="1:28">
      <c r="A490" s="149"/>
      <c r="B490" s="144" t="str">
        <f t="shared" si="41"/>
        <v/>
      </c>
      <c r="C490" s="149"/>
      <c r="D490" s="144" t="str">
        <f t="shared" si="45"/>
        <v/>
      </c>
      <c r="E490" s="183"/>
      <c r="F490" s="144" t="str">
        <f t="shared" si="44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2"/>
        <v/>
      </c>
      <c r="Q490" s="139" t="str">
        <f t="shared" si="43"/>
        <v/>
      </c>
      <c r="AA490" s="139" t="s">
        <v>2612</v>
      </c>
      <c r="AB490" s="139" t="s">
        <v>2613</v>
      </c>
    </row>
    <row r="491" spans="1:28">
      <c r="A491" s="149"/>
      <c r="B491" s="144" t="str">
        <f t="shared" ref="B491:B498" si="46">IFERROR(VLOOKUP(A491,$R$8:$S$23,2,FALSE),"")</f>
        <v/>
      </c>
      <c r="C491" s="149"/>
      <c r="D491" s="144" t="str">
        <f t="shared" si="45"/>
        <v/>
      </c>
      <c r="E491" s="183"/>
      <c r="F491" s="144" t="str">
        <f t="shared" si="44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2"/>
        <v/>
      </c>
      <c r="Q491" s="139" t="str">
        <f t="shared" si="43"/>
        <v/>
      </c>
      <c r="AA491" s="139" t="s">
        <v>2614</v>
      </c>
      <c r="AB491" s="139" t="s">
        <v>2615</v>
      </c>
    </row>
    <row r="492" spans="1:28">
      <c r="A492" s="149"/>
      <c r="B492" s="144" t="str">
        <f t="shared" si="46"/>
        <v/>
      </c>
      <c r="C492" s="149"/>
      <c r="D492" s="144" t="str">
        <f t="shared" si="45"/>
        <v/>
      </c>
      <c r="E492" s="183"/>
      <c r="F492" s="144" t="str">
        <f t="shared" si="44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2"/>
        <v/>
      </c>
      <c r="Q492" s="139" t="str">
        <f t="shared" si="43"/>
        <v/>
      </c>
      <c r="AA492" s="139" t="s">
        <v>2616</v>
      </c>
      <c r="AB492" s="139" t="s">
        <v>2617</v>
      </c>
    </row>
    <row r="493" spans="1:28">
      <c r="A493" s="149"/>
      <c r="B493" s="144" t="str">
        <f t="shared" si="46"/>
        <v/>
      </c>
      <c r="C493" s="149"/>
      <c r="D493" s="144" t="str">
        <f t="shared" si="45"/>
        <v/>
      </c>
      <c r="E493" s="183"/>
      <c r="F493" s="144" t="str">
        <f t="shared" si="44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2"/>
        <v/>
      </c>
      <c r="Q493" s="139" t="str">
        <f t="shared" si="43"/>
        <v/>
      </c>
      <c r="AA493" s="139" t="s">
        <v>2618</v>
      </c>
      <c r="AB493" s="139" t="s">
        <v>2619</v>
      </c>
    </row>
    <row r="494" spans="1:28">
      <c r="A494" s="149"/>
      <c r="B494" s="144" t="str">
        <f t="shared" si="46"/>
        <v/>
      </c>
      <c r="C494" s="149"/>
      <c r="D494" s="144" t="str">
        <f t="shared" si="45"/>
        <v/>
      </c>
      <c r="E494" s="183"/>
      <c r="F494" s="144" t="str">
        <f t="shared" si="44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2"/>
        <v/>
      </c>
      <c r="Q494" s="139" t="str">
        <f t="shared" si="43"/>
        <v/>
      </c>
      <c r="AA494" s="139" t="s">
        <v>2620</v>
      </c>
      <c r="AB494" s="139" t="s">
        <v>2621</v>
      </c>
    </row>
    <row r="495" spans="1:28">
      <c r="A495" s="149"/>
      <c r="B495" s="144" t="str">
        <f t="shared" si="46"/>
        <v/>
      </c>
      <c r="C495" s="149"/>
      <c r="D495" s="144" t="str">
        <f t="shared" si="45"/>
        <v/>
      </c>
      <c r="E495" s="183"/>
      <c r="F495" s="144" t="str">
        <f t="shared" si="44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2"/>
        <v/>
      </c>
      <c r="Q495" s="139" t="str">
        <f t="shared" si="43"/>
        <v/>
      </c>
      <c r="AA495" s="139" t="s">
        <v>2622</v>
      </c>
      <c r="AB495" s="139" t="s">
        <v>2623</v>
      </c>
    </row>
    <row r="496" spans="1:28">
      <c r="A496" s="149"/>
      <c r="B496" s="144" t="str">
        <f t="shared" si="46"/>
        <v/>
      </c>
      <c r="C496" s="149"/>
      <c r="D496" s="144" t="str">
        <f t="shared" si="45"/>
        <v/>
      </c>
      <c r="E496" s="183"/>
      <c r="F496" s="144" t="str">
        <f t="shared" si="44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2"/>
        <v/>
      </c>
      <c r="Q496" s="139" t="str">
        <f t="shared" si="43"/>
        <v/>
      </c>
      <c r="AA496" s="139" t="s">
        <v>2624</v>
      </c>
      <c r="AB496" s="139" t="s">
        <v>2625</v>
      </c>
    </row>
    <row r="497" spans="1:28">
      <c r="A497" s="149"/>
      <c r="B497" s="144" t="str">
        <f t="shared" si="46"/>
        <v/>
      </c>
      <c r="C497" s="149"/>
      <c r="D497" s="144" t="str">
        <f t="shared" si="45"/>
        <v/>
      </c>
      <c r="E497" s="183"/>
      <c r="F497" s="144" t="str">
        <f t="shared" si="44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2"/>
        <v/>
      </c>
      <c r="Q497" s="139" t="str">
        <f t="shared" si="43"/>
        <v/>
      </c>
      <c r="AA497" s="139" t="s">
        <v>2626</v>
      </c>
      <c r="AB497" s="139" t="s">
        <v>2627</v>
      </c>
    </row>
    <row r="498" spans="1:28">
      <c r="A498" s="149"/>
      <c r="B498" s="144" t="str">
        <f t="shared" si="46"/>
        <v/>
      </c>
      <c r="C498" s="149"/>
      <c r="D498" s="144" t="str">
        <f t="shared" si="45"/>
        <v/>
      </c>
      <c r="E498" s="183"/>
      <c r="F498" s="144" t="str">
        <f t="shared" si="44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2"/>
        <v/>
      </c>
      <c r="Q498" s="139" t="str">
        <f t="shared" si="43"/>
        <v/>
      </c>
      <c r="AA498" s="139" t="s">
        <v>2628</v>
      </c>
      <c r="AB498" s="139" t="s">
        <v>2629</v>
      </c>
    </row>
    <row r="499" spans="1:28" ht="15.75" customHeight="1">
      <c r="AA499" s="139" t="s">
        <v>2630</v>
      </c>
      <c r="AB499" s="139" t="s">
        <v>2631</v>
      </c>
    </row>
    <row r="500" spans="1:28" hidden="1">
      <c r="AA500" s="139" t="s">
        <v>2632</v>
      </c>
      <c r="AB500" s="139" t="s">
        <v>2633</v>
      </c>
    </row>
    <row r="501" spans="1:28" hidden="1">
      <c r="AA501" s="139" t="s">
        <v>2634</v>
      </c>
      <c r="AB501" s="139" t="s">
        <v>2635</v>
      </c>
    </row>
    <row r="502" spans="1:28" hidden="1">
      <c r="AA502" s="139" t="s">
        <v>2636</v>
      </c>
      <c r="AB502" s="139" t="s">
        <v>2637</v>
      </c>
    </row>
    <row r="503" spans="1:28" hidden="1">
      <c r="AA503" s="139" t="s">
        <v>2638</v>
      </c>
      <c r="AB503" s="139" t="s">
        <v>2639</v>
      </c>
    </row>
    <row r="504" spans="1:28" hidden="1">
      <c r="AA504" s="139" t="s">
        <v>2640</v>
      </c>
      <c r="AB504" s="139" t="s">
        <v>2641</v>
      </c>
    </row>
    <row r="505" spans="1:28" hidden="1">
      <c r="AA505" s="139" t="s">
        <v>2642</v>
      </c>
      <c r="AB505" s="139" t="s">
        <v>2643</v>
      </c>
    </row>
    <row r="506" spans="1:28" hidden="1">
      <c r="AA506" s="139" t="s">
        <v>2644</v>
      </c>
      <c r="AB506" s="139" t="s">
        <v>2645</v>
      </c>
    </row>
    <row r="507" spans="1:28" hidden="1">
      <c r="AA507" s="139" t="s">
        <v>2646</v>
      </c>
      <c r="AB507" s="139" t="s">
        <v>2647</v>
      </c>
    </row>
    <row r="508" spans="1:28" hidden="1">
      <c r="AA508" s="139" t="s">
        <v>2648</v>
      </c>
      <c r="AB508" s="139" t="s">
        <v>2649</v>
      </c>
    </row>
    <row r="509" spans="1:28" hidden="1">
      <c r="AA509" s="139" t="s">
        <v>2650</v>
      </c>
      <c r="AB509" s="139" t="s">
        <v>2651</v>
      </c>
    </row>
    <row r="510" spans="1:28" hidden="1">
      <c r="AA510" s="139" t="s">
        <v>2652</v>
      </c>
      <c r="AB510" s="139" t="s">
        <v>2653</v>
      </c>
    </row>
    <row r="511" spans="1:28" hidden="1">
      <c r="AA511" s="139" t="s">
        <v>2654</v>
      </c>
      <c r="AB511" s="139" t="s">
        <v>2655</v>
      </c>
    </row>
    <row r="512" spans="1:28" hidden="1">
      <c r="AA512" s="139" t="s">
        <v>2656</v>
      </c>
      <c r="AB512" s="139" t="s">
        <v>2657</v>
      </c>
    </row>
    <row r="513" spans="27:28" hidden="1">
      <c r="AA513" s="139" t="s">
        <v>2658</v>
      </c>
      <c r="AB513" s="139" t="s">
        <v>2659</v>
      </c>
    </row>
    <row r="514" spans="27:28" hidden="1">
      <c r="AA514" s="139" t="s">
        <v>2660</v>
      </c>
      <c r="AB514" s="139" t="s">
        <v>2661</v>
      </c>
    </row>
    <row r="515" spans="27:28" hidden="1">
      <c r="AA515" s="139" t="s">
        <v>2662</v>
      </c>
      <c r="AB515" s="139" t="s">
        <v>2663</v>
      </c>
    </row>
    <row r="516" spans="27:28" hidden="1">
      <c r="AA516" s="139" t="s">
        <v>2664</v>
      </c>
      <c r="AB516" s="139" t="s">
        <v>2665</v>
      </c>
    </row>
    <row r="517" spans="27:28" hidden="1">
      <c r="AA517" s="139" t="s">
        <v>2666</v>
      </c>
      <c r="AB517" s="139" t="s">
        <v>2667</v>
      </c>
    </row>
    <row r="518" spans="27:28" hidden="1">
      <c r="AA518" s="139" t="s">
        <v>2668</v>
      </c>
      <c r="AB518" s="139" t="s">
        <v>2669</v>
      </c>
    </row>
    <row r="519" spans="27:28" hidden="1">
      <c r="AA519" s="139" t="s">
        <v>2670</v>
      </c>
      <c r="AB519" s="139" t="s">
        <v>2671</v>
      </c>
    </row>
    <row r="520" spans="27:28" hidden="1">
      <c r="AA520" s="139" t="s">
        <v>2672</v>
      </c>
      <c r="AB520" s="139" t="s">
        <v>2673</v>
      </c>
    </row>
    <row r="521" spans="27:28" hidden="1">
      <c r="AA521" s="139" t="s">
        <v>2674</v>
      </c>
      <c r="AB521" s="139" t="s">
        <v>2675</v>
      </c>
    </row>
    <row r="522" spans="27:28" hidden="1">
      <c r="AA522" s="139" t="s">
        <v>2676</v>
      </c>
      <c r="AB522" s="139" t="s">
        <v>2677</v>
      </c>
    </row>
    <row r="523" spans="27:28" hidden="1">
      <c r="AA523" s="139" t="s">
        <v>2678</v>
      </c>
      <c r="AB523" s="139" t="s">
        <v>2679</v>
      </c>
    </row>
    <row r="524" spans="27:28" hidden="1">
      <c r="AA524" s="139" t="s">
        <v>2680</v>
      </c>
      <c r="AB524" s="139" t="s">
        <v>2681</v>
      </c>
    </row>
    <row r="525" spans="27:28" hidden="1">
      <c r="AA525" s="139" t="s">
        <v>2682</v>
      </c>
      <c r="AB525" s="139" t="s">
        <v>2683</v>
      </c>
    </row>
    <row r="526" spans="27:28" hidden="1">
      <c r="AA526" s="139" t="s">
        <v>2684</v>
      </c>
      <c r="AB526" s="139" t="s">
        <v>1584</v>
      </c>
    </row>
    <row r="527" spans="27:28" hidden="1">
      <c r="AA527" s="139" t="s">
        <v>2685</v>
      </c>
      <c r="AB527" s="139" t="s">
        <v>2686</v>
      </c>
    </row>
    <row r="528" spans="27:28" hidden="1">
      <c r="AA528" s="139" t="s">
        <v>2687</v>
      </c>
      <c r="AB528" s="139" t="s">
        <v>2688</v>
      </c>
    </row>
    <row r="529" spans="27:28" hidden="1">
      <c r="AA529" s="139" t="s">
        <v>2689</v>
      </c>
      <c r="AB529" s="139" t="s">
        <v>2690</v>
      </c>
    </row>
    <row r="530" spans="27:28" hidden="1">
      <c r="AA530" s="139" t="s">
        <v>2691</v>
      </c>
      <c r="AB530" s="139" t="s">
        <v>2692</v>
      </c>
    </row>
    <row r="531" spans="27:28" hidden="1">
      <c r="AA531" s="139" t="s">
        <v>2693</v>
      </c>
      <c r="AB531" s="139" t="s">
        <v>2694</v>
      </c>
    </row>
    <row r="532" spans="27:28" hidden="1">
      <c r="AA532" s="139" t="s">
        <v>2695</v>
      </c>
      <c r="AB532" s="139" t="s">
        <v>2696</v>
      </c>
    </row>
    <row r="533" spans="27:28" hidden="1">
      <c r="AA533" s="139" t="s">
        <v>2697</v>
      </c>
      <c r="AB533" s="139" t="s">
        <v>2698</v>
      </c>
    </row>
    <row r="534" spans="27:28" hidden="1">
      <c r="AA534" s="139" t="s">
        <v>2699</v>
      </c>
      <c r="AB534" s="139" t="s">
        <v>2700</v>
      </c>
    </row>
    <row r="535" spans="27:28" hidden="1">
      <c r="AA535" s="139" t="s">
        <v>2701</v>
      </c>
      <c r="AB535" s="139" t="s">
        <v>2702</v>
      </c>
    </row>
    <row r="536" spans="27:28" hidden="1">
      <c r="AA536" s="139" t="s">
        <v>2703</v>
      </c>
      <c r="AB536" s="139" t="s">
        <v>2704</v>
      </c>
    </row>
    <row r="537" spans="27:28" hidden="1">
      <c r="AA537" s="139" t="s">
        <v>2705</v>
      </c>
      <c r="AB537" s="139" t="s">
        <v>2706</v>
      </c>
    </row>
    <row r="538" spans="27:28" hidden="1">
      <c r="AA538" s="139" t="s">
        <v>2707</v>
      </c>
      <c r="AB538" s="139" t="s">
        <v>2708</v>
      </c>
    </row>
    <row r="539" spans="27:28" hidden="1">
      <c r="AA539" s="139" t="s">
        <v>2709</v>
      </c>
      <c r="AB539" s="139" t="s">
        <v>2710</v>
      </c>
    </row>
    <row r="540" spans="27:28" hidden="1">
      <c r="AA540" s="139" t="s">
        <v>2711</v>
      </c>
      <c r="AB540" s="139" t="s">
        <v>2712</v>
      </c>
    </row>
    <row r="541" spans="27:28" hidden="1">
      <c r="AA541" s="139" t="s">
        <v>2713</v>
      </c>
      <c r="AB541" s="139" t="s">
        <v>2714</v>
      </c>
    </row>
    <row r="542" spans="27:28" hidden="1">
      <c r="AA542" s="139" t="s">
        <v>2715</v>
      </c>
      <c r="AB542" s="139" t="s">
        <v>2716</v>
      </c>
    </row>
    <row r="543" spans="27:28" hidden="1">
      <c r="AA543" s="139" t="s">
        <v>2717</v>
      </c>
      <c r="AB543" s="139" t="s">
        <v>2718</v>
      </c>
    </row>
    <row r="544" spans="27:28" hidden="1">
      <c r="AA544" s="139" t="s">
        <v>2719</v>
      </c>
      <c r="AB544" s="139" t="s">
        <v>2720</v>
      </c>
    </row>
    <row r="545" spans="27:28" hidden="1">
      <c r="AA545" s="139" t="s">
        <v>2721</v>
      </c>
      <c r="AB545" s="139" t="s">
        <v>2722</v>
      </c>
    </row>
    <row r="546" spans="27:28" hidden="1">
      <c r="AA546" s="139" t="s">
        <v>2723</v>
      </c>
      <c r="AB546" s="139" t="s">
        <v>2724</v>
      </c>
    </row>
    <row r="547" spans="27:28" hidden="1">
      <c r="AA547" s="139" t="s">
        <v>2725</v>
      </c>
      <c r="AB547" s="139" t="s">
        <v>2726</v>
      </c>
    </row>
    <row r="548" spans="27:28" hidden="1">
      <c r="AA548" s="139" t="s">
        <v>2727</v>
      </c>
      <c r="AB548" s="139" t="s">
        <v>2728</v>
      </c>
    </row>
    <row r="549" spans="27:28" hidden="1">
      <c r="AA549" s="139" t="s">
        <v>2729</v>
      </c>
      <c r="AB549" s="139" t="s">
        <v>2730</v>
      </c>
    </row>
    <row r="550" spans="27:28" hidden="1">
      <c r="AA550" s="139" t="s">
        <v>2731</v>
      </c>
      <c r="AB550" s="139" t="s">
        <v>2732</v>
      </c>
    </row>
    <row r="551" spans="27:28" hidden="1">
      <c r="AA551" s="139" t="s">
        <v>2733</v>
      </c>
      <c r="AB551" s="139" t="s">
        <v>2734</v>
      </c>
    </row>
    <row r="552" spans="27:28" hidden="1">
      <c r="AA552" s="139" t="s">
        <v>2735</v>
      </c>
      <c r="AB552" s="139" t="s">
        <v>2736</v>
      </c>
    </row>
    <row r="553" spans="27:28" hidden="1">
      <c r="AA553" s="139" t="s">
        <v>2737</v>
      </c>
      <c r="AB553" s="139" t="s">
        <v>2738</v>
      </c>
    </row>
    <row r="554" spans="27:28" hidden="1">
      <c r="AA554" s="139" t="s">
        <v>2739</v>
      </c>
      <c r="AB554" s="139" t="s">
        <v>2740</v>
      </c>
    </row>
    <row r="555" spans="27:28" hidden="1">
      <c r="AA555" s="139" t="s">
        <v>2741</v>
      </c>
      <c r="AB555" s="139" t="s">
        <v>2742</v>
      </c>
    </row>
    <row r="556" spans="27:28" hidden="1">
      <c r="AA556" s="139" t="s">
        <v>2743</v>
      </c>
      <c r="AB556" s="139" t="s">
        <v>2744</v>
      </c>
    </row>
    <row r="557" spans="27:28" hidden="1">
      <c r="AA557" s="139" t="s">
        <v>2745</v>
      </c>
      <c r="AB557" s="139" t="s">
        <v>2746</v>
      </c>
    </row>
    <row r="558" spans="27:28" hidden="1">
      <c r="AA558" s="139" t="s">
        <v>2747</v>
      </c>
      <c r="AB558" s="139" t="s">
        <v>2748</v>
      </c>
    </row>
    <row r="559" spans="27:28" hidden="1">
      <c r="AA559" s="139" t="s">
        <v>2749</v>
      </c>
      <c r="AB559" s="139" t="s">
        <v>2750</v>
      </c>
    </row>
    <row r="560" spans="27:28" hidden="1">
      <c r="AA560" s="139" t="s">
        <v>2751</v>
      </c>
      <c r="AB560" s="139" t="s">
        <v>1750</v>
      </c>
    </row>
    <row r="561" spans="27:28" hidden="1">
      <c r="AA561" s="139" t="s">
        <v>2752</v>
      </c>
      <c r="AB561" s="139" t="s">
        <v>2753</v>
      </c>
    </row>
    <row r="562" spans="27:28" hidden="1">
      <c r="AA562" s="139" t="s">
        <v>2754</v>
      </c>
      <c r="AB562" s="139" t="s">
        <v>2755</v>
      </c>
    </row>
    <row r="563" spans="27:28" hidden="1">
      <c r="AA563" s="139" t="s">
        <v>2756</v>
      </c>
      <c r="AB563" s="139" t="s">
        <v>2757</v>
      </c>
    </row>
    <row r="564" spans="27:28" hidden="1">
      <c r="AA564" s="139" t="s">
        <v>2758</v>
      </c>
      <c r="AB564" s="139" t="s">
        <v>2759</v>
      </c>
    </row>
    <row r="565" spans="27:28" hidden="1">
      <c r="AA565" s="139" t="s">
        <v>2760</v>
      </c>
      <c r="AB565" s="139" t="s">
        <v>2761</v>
      </c>
    </row>
    <row r="566" spans="27:28" hidden="1">
      <c r="AA566" s="139" t="s">
        <v>2762</v>
      </c>
      <c r="AB566" s="139" t="s">
        <v>2763</v>
      </c>
    </row>
    <row r="567" spans="27:28" hidden="1">
      <c r="AA567" s="139" t="s">
        <v>2764</v>
      </c>
      <c r="AB567" s="139" t="s">
        <v>2765</v>
      </c>
    </row>
    <row r="568" spans="27:28" hidden="1">
      <c r="AA568" s="139" t="s">
        <v>2766</v>
      </c>
      <c r="AB568" s="139" t="s">
        <v>2767</v>
      </c>
    </row>
    <row r="569" spans="27:28" hidden="1">
      <c r="AA569" s="139" t="s">
        <v>2768</v>
      </c>
      <c r="AB569" s="139" t="s">
        <v>2769</v>
      </c>
    </row>
    <row r="570" spans="27:28" hidden="1">
      <c r="AA570" s="139" t="s">
        <v>2770</v>
      </c>
      <c r="AB570" s="139" t="s">
        <v>2771</v>
      </c>
    </row>
    <row r="571" spans="27:28" hidden="1">
      <c r="AA571" s="139" t="s">
        <v>2772</v>
      </c>
      <c r="AB571" s="139" t="s">
        <v>2773</v>
      </c>
    </row>
    <row r="572" spans="27:28" hidden="1">
      <c r="AA572" s="139" t="s">
        <v>2774</v>
      </c>
      <c r="AB572" s="139" t="s">
        <v>2775</v>
      </c>
    </row>
    <row r="573" spans="27:28" hidden="1">
      <c r="AA573" s="139" t="s">
        <v>2776</v>
      </c>
      <c r="AB573" s="139" t="s">
        <v>2777</v>
      </c>
    </row>
    <row r="574" spans="27:28" hidden="1">
      <c r="AA574" s="139" t="s">
        <v>2778</v>
      </c>
      <c r="AB574" s="139" t="s">
        <v>2779</v>
      </c>
    </row>
    <row r="575" spans="27:28" hidden="1">
      <c r="AA575" s="139" t="s">
        <v>2780</v>
      </c>
      <c r="AB575" s="139" t="s">
        <v>2781</v>
      </c>
    </row>
    <row r="576" spans="27:28" hidden="1">
      <c r="AA576" s="139" t="s">
        <v>2782</v>
      </c>
      <c r="AB576" s="139" t="s">
        <v>2783</v>
      </c>
    </row>
    <row r="577" spans="27:28" hidden="1">
      <c r="AA577" s="139" t="s">
        <v>2784</v>
      </c>
      <c r="AB577" s="139" t="s">
        <v>2785</v>
      </c>
    </row>
    <row r="578" spans="27:28" hidden="1">
      <c r="AA578" s="139" t="s">
        <v>2786</v>
      </c>
      <c r="AB578" s="139" t="s">
        <v>2787</v>
      </c>
    </row>
    <row r="579" spans="27:28" hidden="1">
      <c r="AA579" s="139" t="s">
        <v>2788</v>
      </c>
      <c r="AB579" s="139" t="s">
        <v>2789</v>
      </c>
    </row>
    <row r="580" spans="27:28" hidden="1">
      <c r="AA580" s="139" t="s">
        <v>2790</v>
      </c>
      <c r="AB580" s="139" t="s">
        <v>2791</v>
      </c>
    </row>
    <row r="581" spans="27:28" hidden="1">
      <c r="AA581" s="139" t="s">
        <v>2792</v>
      </c>
      <c r="AB581" s="139" t="s">
        <v>2793</v>
      </c>
    </row>
    <row r="582" spans="27:28" hidden="1">
      <c r="AA582" s="139" t="s">
        <v>2794</v>
      </c>
      <c r="AB582" s="139" t="s">
        <v>2795</v>
      </c>
    </row>
    <row r="583" spans="27:28" hidden="1">
      <c r="AA583" s="139" t="s">
        <v>2796</v>
      </c>
      <c r="AB583" s="139" t="s">
        <v>2797</v>
      </c>
    </row>
    <row r="584" spans="27:28" hidden="1">
      <c r="AA584" s="139" t="s">
        <v>2798</v>
      </c>
      <c r="AB584" s="139" t="s">
        <v>2799</v>
      </c>
    </row>
    <row r="585" spans="27:28" hidden="1">
      <c r="AA585" s="139" t="s">
        <v>2800</v>
      </c>
      <c r="AB585" s="139" t="s">
        <v>2801</v>
      </c>
    </row>
    <row r="586" spans="27:28" hidden="1">
      <c r="AA586" s="139" t="s">
        <v>2802</v>
      </c>
      <c r="AB586" s="139" t="s">
        <v>2803</v>
      </c>
    </row>
    <row r="587" spans="27:28" hidden="1">
      <c r="AA587" s="139" t="s">
        <v>2804</v>
      </c>
      <c r="AB587" s="139" t="s">
        <v>2805</v>
      </c>
    </row>
    <row r="588" spans="27:28" hidden="1">
      <c r="AA588" s="139" t="s">
        <v>2806</v>
      </c>
      <c r="AB588" s="139" t="s">
        <v>2807</v>
      </c>
    </row>
    <row r="589" spans="27:28" hidden="1">
      <c r="AA589" s="139" t="s">
        <v>2808</v>
      </c>
      <c r="AB589" s="139" t="s">
        <v>2809</v>
      </c>
    </row>
    <row r="590" spans="27:28" hidden="1">
      <c r="AA590" s="139" t="s">
        <v>2810</v>
      </c>
      <c r="AB590" s="139" t="s">
        <v>2811</v>
      </c>
    </row>
    <row r="591" spans="27:28" hidden="1">
      <c r="AA591" s="139" t="s">
        <v>2812</v>
      </c>
      <c r="AB591" s="139" t="s">
        <v>2813</v>
      </c>
    </row>
    <row r="592" spans="27:28" hidden="1">
      <c r="AA592" s="139" t="s">
        <v>2814</v>
      </c>
      <c r="AB592" s="139" t="s">
        <v>2815</v>
      </c>
    </row>
    <row r="593" spans="27:28" hidden="1">
      <c r="AA593" s="139" t="s">
        <v>2816</v>
      </c>
      <c r="AB593" s="139" t="s">
        <v>2817</v>
      </c>
    </row>
    <row r="594" spans="27:28" hidden="1">
      <c r="AA594" s="139" t="s">
        <v>2818</v>
      </c>
      <c r="AB594" s="139" t="s">
        <v>2819</v>
      </c>
    </row>
    <row r="595" spans="27:28" hidden="1">
      <c r="AA595" s="139" t="s">
        <v>2820</v>
      </c>
      <c r="AB595" s="139" t="s">
        <v>2821</v>
      </c>
    </row>
    <row r="596" spans="27:28" hidden="1">
      <c r="AA596" s="139" t="s">
        <v>2822</v>
      </c>
      <c r="AB596" s="139" t="s">
        <v>2823</v>
      </c>
    </row>
    <row r="597" spans="27:28" hidden="1">
      <c r="AA597" s="139" t="s">
        <v>2824</v>
      </c>
      <c r="AB597" s="139" t="s">
        <v>2825</v>
      </c>
    </row>
    <row r="598" spans="27:28" hidden="1">
      <c r="AA598" s="139" t="s">
        <v>2826</v>
      </c>
      <c r="AB598" s="139" t="s">
        <v>2827</v>
      </c>
    </row>
    <row r="599" spans="27:28" hidden="1">
      <c r="AA599" s="139" t="s">
        <v>2828</v>
      </c>
      <c r="AB599" s="139" t="s">
        <v>2829</v>
      </c>
    </row>
    <row r="600" spans="27:28" hidden="1">
      <c r="AA600" s="139" t="s">
        <v>2830</v>
      </c>
      <c r="AB600" s="139" t="s">
        <v>2831</v>
      </c>
    </row>
    <row r="601" spans="27:28" hidden="1">
      <c r="AA601" s="139" t="s">
        <v>2832</v>
      </c>
      <c r="AB601" s="139" t="s">
        <v>2833</v>
      </c>
    </row>
    <row r="602" spans="27:28" hidden="1">
      <c r="AA602" s="139" t="s">
        <v>2834</v>
      </c>
      <c r="AB602" s="139" t="s">
        <v>2835</v>
      </c>
    </row>
    <row r="603" spans="27:28" hidden="1">
      <c r="AA603" s="139" t="s">
        <v>2836</v>
      </c>
      <c r="AB603" s="139" t="s">
        <v>2837</v>
      </c>
    </row>
    <row r="604" spans="27:28" hidden="1">
      <c r="AA604" s="139" t="s">
        <v>2838</v>
      </c>
      <c r="AB604" s="139" t="s">
        <v>2839</v>
      </c>
    </row>
    <row r="605" spans="27:28" hidden="1">
      <c r="AA605" s="139" t="s">
        <v>2840</v>
      </c>
      <c r="AB605" s="139" t="s">
        <v>2841</v>
      </c>
    </row>
    <row r="606" spans="27:28" hidden="1">
      <c r="AA606" s="139" t="s">
        <v>2842</v>
      </c>
      <c r="AB606" s="139" t="s">
        <v>2843</v>
      </c>
    </row>
    <row r="607" spans="27:28" hidden="1">
      <c r="AA607" s="139" t="s">
        <v>2844</v>
      </c>
      <c r="AB607" s="139" t="s">
        <v>2845</v>
      </c>
    </row>
    <row r="608" spans="27:28" hidden="1">
      <c r="AA608" s="139" t="s">
        <v>2846</v>
      </c>
      <c r="AB608" s="139" t="s">
        <v>2847</v>
      </c>
    </row>
    <row r="609" spans="27:28" hidden="1">
      <c r="AA609" s="139" t="s">
        <v>2848</v>
      </c>
      <c r="AB609" s="139" t="s">
        <v>2849</v>
      </c>
    </row>
    <row r="610" spans="27:28" hidden="1">
      <c r="AA610" s="139" t="s">
        <v>2850</v>
      </c>
      <c r="AB610" s="139" t="s">
        <v>2851</v>
      </c>
    </row>
    <row r="611" spans="27:28" hidden="1">
      <c r="AA611" s="139" t="s">
        <v>2852</v>
      </c>
      <c r="AB611" s="139" t="s">
        <v>2853</v>
      </c>
    </row>
    <row r="612" spans="27:28" hidden="1">
      <c r="AA612" s="139" t="s">
        <v>2854</v>
      </c>
      <c r="AB612" s="139" t="s">
        <v>2855</v>
      </c>
    </row>
    <row r="613" spans="27:28" hidden="1">
      <c r="AA613" s="139" t="s">
        <v>2856</v>
      </c>
      <c r="AB613" s="139" t="s">
        <v>2857</v>
      </c>
    </row>
    <row r="614" spans="27:28" hidden="1">
      <c r="AA614" s="139" t="s">
        <v>2858</v>
      </c>
      <c r="AB614" s="139" t="s">
        <v>2859</v>
      </c>
    </row>
    <row r="615" spans="27:28" hidden="1">
      <c r="AA615" s="139" t="s">
        <v>2860</v>
      </c>
      <c r="AB615" s="139" t="s">
        <v>2861</v>
      </c>
    </row>
    <row r="616" spans="27:28" hidden="1">
      <c r="AA616" s="139" t="s">
        <v>2862</v>
      </c>
      <c r="AB616" s="139" t="s">
        <v>2863</v>
      </c>
    </row>
    <row r="617" spans="27:28" hidden="1">
      <c r="AA617" s="139" t="s">
        <v>2864</v>
      </c>
      <c r="AB617" s="139" t="s">
        <v>2865</v>
      </c>
    </row>
    <row r="618" spans="27:28" hidden="1">
      <c r="AA618" s="139" t="s">
        <v>2866</v>
      </c>
      <c r="AB618" s="139" t="s">
        <v>2867</v>
      </c>
    </row>
    <row r="619" spans="27:28" hidden="1">
      <c r="AA619" s="139" t="s">
        <v>2868</v>
      </c>
      <c r="AB619" s="139" t="s">
        <v>2869</v>
      </c>
    </row>
    <row r="620" spans="27:28" hidden="1">
      <c r="AA620" s="139" t="s">
        <v>2870</v>
      </c>
      <c r="AB620" s="139" t="s">
        <v>2871</v>
      </c>
    </row>
    <row r="621" spans="27:28" hidden="1">
      <c r="AA621" s="139" t="s">
        <v>2872</v>
      </c>
      <c r="AB621" s="139" t="s">
        <v>2873</v>
      </c>
    </row>
    <row r="622" spans="27:28" hidden="1">
      <c r="AA622" s="139" t="s">
        <v>2874</v>
      </c>
      <c r="AB622" s="139" t="s">
        <v>2875</v>
      </c>
    </row>
    <row r="623" spans="27:28" hidden="1">
      <c r="AA623" s="139" t="s">
        <v>2876</v>
      </c>
      <c r="AB623" s="139" t="s">
        <v>2877</v>
      </c>
    </row>
    <row r="624" spans="27:28" hidden="1">
      <c r="AA624" s="139" t="s">
        <v>2878</v>
      </c>
      <c r="AB624" s="139" t="s">
        <v>2879</v>
      </c>
    </row>
    <row r="625" spans="27:28" hidden="1">
      <c r="AA625" s="139" t="s">
        <v>2880</v>
      </c>
      <c r="AB625" s="139" t="s">
        <v>2881</v>
      </c>
    </row>
    <row r="626" spans="27:28" hidden="1">
      <c r="AA626" s="139" t="s">
        <v>2882</v>
      </c>
      <c r="AB626" s="139" t="s">
        <v>2883</v>
      </c>
    </row>
    <row r="627" spans="27:28" hidden="1">
      <c r="AA627" s="139" t="s">
        <v>2884</v>
      </c>
      <c r="AB627" s="139" t="s">
        <v>2885</v>
      </c>
    </row>
    <row r="628" spans="27:28" hidden="1">
      <c r="AA628" s="139" t="s">
        <v>2886</v>
      </c>
      <c r="AB628" s="139" t="s">
        <v>2887</v>
      </c>
    </row>
    <row r="629" spans="27:28" hidden="1">
      <c r="AA629" s="139" t="s">
        <v>2888</v>
      </c>
      <c r="AB629" s="139" t="s">
        <v>2889</v>
      </c>
    </row>
    <row r="630" spans="27:28" hidden="1">
      <c r="AA630" s="139" t="s">
        <v>2890</v>
      </c>
      <c r="AB630" s="139" t="s">
        <v>2891</v>
      </c>
    </row>
    <row r="631" spans="27:28" hidden="1">
      <c r="AA631" s="139" t="s">
        <v>2892</v>
      </c>
      <c r="AB631" s="139" t="s">
        <v>2893</v>
      </c>
    </row>
    <row r="632" spans="27:28" hidden="1">
      <c r="AA632" s="139" t="s">
        <v>2894</v>
      </c>
      <c r="AB632" s="139" t="s">
        <v>2895</v>
      </c>
    </row>
    <row r="633" spans="27:28" hidden="1">
      <c r="AA633" s="139" t="s">
        <v>2896</v>
      </c>
      <c r="AB633" s="139" t="s">
        <v>2897</v>
      </c>
    </row>
    <row r="634" spans="27:28" hidden="1">
      <c r="AA634" s="139" t="s">
        <v>2898</v>
      </c>
      <c r="AB634" s="139" t="s">
        <v>2899</v>
      </c>
    </row>
    <row r="635" spans="27:28" hidden="1">
      <c r="AA635" s="139" t="s">
        <v>2900</v>
      </c>
      <c r="AB635" s="139" t="s">
        <v>2901</v>
      </c>
    </row>
    <row r="636" spans="27:28" hidden="1">
      <c r="AA636" s="139" t="s">
        <v>2902</v>
      </c>
      <c r="AB636" s="139" t="s">
        <v>2903</v>
      </c>
    </row>
    <row r="637" spans="27:28" hidden="1">
      <c r="AA637" s="139" t="s">
        <v>2904</v>
      </c>
      <c r="AB637" s="139" t="s">
        <v>2905</v>
      </c>
    </row>
    <row r="638" spans="27:28" hidden="1">
      <c r="AA638" s="139" t="s">
        <v>2906</v>
      </c>
      <c r="AB638" s="139" t="s">
        <v>2907</v>
      </c>
    </row>
    <row r="639" spans="27:28" hidden="1">
      <c r="AA639" s="139" t="s">
        <v>2908</v>
      </c>
      <c r="AB639" s="139" t="s">
        <v>2909</v>
      </c>
    </row>
    <row r="640" spans="27:28" hidden="1">
      <c r="AA640" s="139" t="s">
        <v>2910</v>
      </c>
      <c r="AB640" s="139" t="s">
        <v>2911</v>
      </c>
    </row>
    <row r="641" spans="27:28" hidden="1">
      <c r="AA641" s="139" t="s">
        <v>2912</v>
      </c>
      <c r="AB641" s="139" t="s">
        <v>2913</v>
      </c>
    </row>
    <row r="642" spans="27:28" hidden="1">
      <c r="AA642" s="139" t="s">
        <v>2914</v>
      </c>
      <c r="AB642" s="139" t="s">
        <v>2915</v>
      </c>
    </row>
    <row r="643" spans="27:28" hidden="1">
      <c r="AA643" s="139" t="s">
        <v>2916</v>
      </c>
      <c r="AB643" s="139" t="s">
        <v>2917</v>
      </c>
    </row>
    <row r="644" spans="27:28" hidden="1">
      <c r="AA644" s="139" t="s">
        <v>2918</v>
      </c>
      <c r="AB644" s="139" t="s">
        <v>2919</v>
      </c>
    </row>
    <row r="645" spans="27:28" hidden="1">
      <c r="AA645" s="139" t="s">
        <v>2920</v>
      </c>
      <c r="AB645" s="139" t="s">
        <v>2921</v>
      </c>
    </row>
    <row r="646" spans="27:28" hidden="1">
      <c r="AA646" s="139" t="s">
        <v>2922</v>
      </c>
      <c r="AB646" s="139" t="s">
        <v>2923</v>
      </c>
    </row>
    <row r="647" spans="27:28" hidden="1">
      <c r="AA647" s="139" t="s">
        <v>2924</v>
      </c>
      <c r="AB647" s="139" t="s">
        <v>2925</v>
      </c>
    </row>
    <row r="648" spans="27:28" hidden="1">
      <c r="AA648" s="139" t="s">
        <v>2926</v>
      </c>
      <c r="AB648" s="139" t="s">
        <v>2927</v>
      </c>
    </row>
    <row r="649" spans="27:28" hidden="1">
      <c r="AA649" s="139" t="s">
        <v>2928</v>
      </c>
      <c r="AB649" s="139" t="s">
        <v>2929</v>
      </c>
    </row>
    <row r="650" spans="27:28" hidden="1">
      <c r="AA650" s="139" t="s">
        <v>2930</v>
      </c>
      <c r="AB650" s="139" t="s">
        <v>2931</v>
      </c>
    </row>
    <row r="651" spans="27:28" hidden="1">
      <c r="AA651" s="139" t="s">
        <v>2932</v>
      </c>
      <c r="AB651" s="139" t="s">
        <v>2933</v>
      </c>
    </row>
    <row r="652" spans="27:28" hidden="1">
      <c r="AA652" s="139" t="s">
        <v>2934</v>
      </c>
      <c r="AB652" s="139" t="s">
        <v>2935</v>
      </c>
    </row>
    <row r="653" spans="27:28" hidden="1">
      <c r="AA653" s="139" t="s">
        <v>2936</v>
      </c>
      <c r="AB653" s="139" t="s">
        <v>2937</v>
      </c>
    </row>
    <row r="654" spans="27:28" hidden="1">
      <c r="AA654" s="139" t="s">
        <v>2938</v>
      </c>
      <c r="AB654" s="139" t="s">
        <v>2939</v>
      </c>
    </row>
    <row r="655" spans="27:28" hidden="1">
      <c r="AA655" s="139" t="s">
        <v>2940</v>
      </c>
      <c r="AB655" s="139" t="s">
        <v>2941</v>
      </c>
    </row>
    <row r="656" spans="27:28" hidden="1">
      <c r="AA656" s="139" t="s">
        <v>2942</v>
      </c>
      <c r="AB656" s="139" t="s">
        <v>2943</v>
      </c>
    </row>
    <row r="657" spans="27:28" hidden="1">
      <c r="AA657" s="139" t="s">
        <v>2944</v>
      </c>
      <c r="AB657" s="139" t="s">
        <v>2945</v>
      </c>
    </row>
    <row r="658" spans="27:28" hidden="1">
      <c r="AA658" s="139" t="s">
        <v>2946</v>
      </c>
      <c r="AB658" s="139" t="s">
        <v>2947</v>
      </c>
    </row>
    <row r="659" spans="27:28" hidden="1">
      <c r="AA659" s="139" t="s">
        <v>2948</v>
      </c>
      <c r="AB659" s="139" t="s">
        <v>2949</v>
      </c>
    </row>
    <row r="660" spans="27:28" hidden="1">
      <c r="AA660" s="139" t="s">
        <v>2950</v>
      </c>
      <c r="AB660" s="139" t="s">
        <v>2951</v>
      </c>
    </row>
    <row r="661" spans="27:28" hidden="1">
      <c r="AA661" s="139" t="s">
        <v>2952</v>
      </c>
      <c r="AB661" s="139" t="s">
        <v>2953</v>
      </c>
    </row>
    <row r="662" spans="27:28" hidden="1">
      <c r="AA662" s="139" t="s">
        <v>2954</v>
      </c>
      <c r="AB662" s="139" t="s">
        <v>2955</v>
      </c>
    </row>
    <row r="663" spans="27:28" hidden="1">
      <c r="AA663" s="139" t="s">
        <v>2956</v>
      </c>
      <c r="AB663" s="139" t="s">
        <v>2957</v>
      </c>
    </row>
    <row r="664" spans="27:28" hidden="1">
      <c r="AA664" s="139" t="s">
        <v>2958</v>
      </c>
      <c r="AB664" s="139" t="s">
        <v>2959</v>
      </c>
    </row>
    <row r="665" spans="27:28" hidden="1">
      <c r="AA665" s="139" t="s">
        <v>2960</v>
      </c>
      <c r="AB665" s="139" t="s">
        <v>2961</v>
      </c>
    </row>
    <row r="666" spans="27:28" hidden="1">
      <c r="AA666" s="139" t="s">
        <v>2962</v>
      </c>
      <c r="AB666" s="139" t="s">
        <v>2963</v>
      </c>
    </row>
    <row r="667" spans="27:28" hidden="1">
      <c r="AA667" s="139" t="s">
        <v>2964</v>
      </c>
      <c r="AB667" s="139" t="s">
        <v>2965</v>
      </c>
    </row>
    <row r="668" spans="27:28" hidden="1">
      <c r="AA668" s="139" t="s">
        <v>2966</v>
      </c>
      <c r="AB668" s="139" t="s">
        <v>2967</v>
      </c>
    </row>
    <row r="669" spans="27:28" hidden="1">
      <c r="AA669" s="139" t="s">
        <v>2968</v>
      </c>
      <c r="AB669" s="139" t="s">
        <v>2969</v>
      </c>
    </row>
    <row r="670" spans="27:28" hidden="1">
      <c r="AA670" s="139" t="s">
        <v>2970</v>
      </c>
      <c r="AB670" s="139" t="s">
        <v>2971</v>
      </c>
    </row>
    <row r="671" spans="27:28" hidden="1">
      <c r="AA671" s="139" t="s">
        <v>2972</v>
      </c>
      <c r="AB671" s="139" t="s">
        <v>2973</v>
      </c>
    </row>
    <row r="672" spans="27:28" hidden="1">
      <c r="AA672" s="139" t="s">
        <v>2974</v>
      </c>
      <c r="AB672" s="139" t="s">
        <v>2975</v>
      </c>
    </row>
    <row r="673" spans="27:28" hidden="1">
      <c r="AA673" s="139" t="s">
        <v>2976</v>
      </c>
      <c r="AB673" s="139" t="s">
        <v>2977</v>
      </c>
    </row>
    <row r="674" spans="27:28" hidden="1">
      <c r="AA674" s="139" t="s">
        <v>2978</v>
      </c>
      <c r="AB674" s="139" t="s">
        <v>2979</v>
      </c>
    </row>
    <row r="675" spans="27:28" hidden="1">
      <c r="AA675" s="139" t="s">
        <v>2980</v>
      </c>
      <c r="AB675" s="139" t="s">
        <v>2981</v>
      </c>
    </row>
    <row r="676" spans="27:28" hidden="1">
      <c r="AA676" s="139" t="s">
        <v>2982</v>
      </c>
      <c r="AB676" s="139" t="s">
        <v>2983</v>
      </c>
    </row>
    <row r="677" spans="27:28" hidden="1">
      <c r="AA677" s="139" t="s">
        <v>2984</v>
      </c>
      <c r="AB677" s="139" t="s">
        <v>2985</v>
      </c>
    </row>
    <row r="678" spans="27:28" hidden="1">
      <c r="AA678" s="139" t="s">
        <v>2986</v>
      </c>
      <c r="AB678" s="139" t="s">
        <v>2987</v>
      </c>
    </row>
    <row r="679" spans="27:28" hidden="1">
      <c r="AA679" s="139" t="s">
        <v>2988</v>
      </c>
      <c r="AB679" s="139" t="s">
        <v>2989</v>
      </c>
    </row>
    <row r="680" spans="27:28" hidden="1">
      <c r="AA680" s="139" t="s">
        <v>2990</v>
      </c>
      <c r="AB680" s="139" t="s">
        <v>2991</v>
      </c>
    </row>
    <row r="681" spans="27:28" hidden="1">
      <c r="AA681" s="139" t="s">
        <v>2992</v>
      </c>
      <c r="AB681" s="139" t="s">
        <v>2993</v>
      </c>
    </row>
    <row r="682" spans="27:28" hidden="1">
      <c r="AA682" s="139" t="s">
        <v>2994</v>
      </c>
      <c r="AB682" s="139" t="s">
        <v>2995</v>
      </c>
    </row>
    <row r="683" spans="27:28" hidden="1">
      <c r="AA683" s="139" t="s">
        <v>2996</v>
      </c>
      <c r="AB683" s="139" t="s">
        <v>2997</v>
      </c>
    </row>
    <row r="684" spans="27:28" hidden="1">
      <c r="AA684" s="139" t="s">
        <v>2998</v>
      </c>
      <c r="AB684" s="139" t="s">
        <v>2999</v>
      </c>
    </row>
    <row r="685" spans="27:28" hidden="1">
      <c r="AA685" s="139" t="s">
        <v>3000</v>
      </c>
      <c r="AB685" s="139" t="s">
        <v>3001</v>
      </c>
    </row>
    <row r="686" spans="27:28" hidden="1">
      <c r="AA686" s="139" t="s">
        <v>3002</v>
      </c>
      <c r="AB686" s="139" t="s">
        <v>3003</v>
      </c>
    </row>
    <row r="687" spans="27:28" hidden="1">
      <c r="AA687" s="139" t="s">
        <v>3004</v>
      </c>
      <c r="AB687" s="139" t="s">
        <v>3005</v>
      </c>
    </row>
    <row r="688" spans="27:28" hidden="1">
      <c r="AA688" s="139" t="s">
        <v>3006</v>
      </c>
      <c r="AB688" s="139" t="s">
        <v>3007</v>
      </c>
    </row>
    <row r="689" spans="27:28" hidden="1">
      <c r="AA689" s="139" t="s">
        <v>3008</v>
      </c>
      <c r="AB689" s="139" t="s">
        <v>3009</v>
      </c>
    </row>
    <row r="690" spans="27:28" hidden="1">
      <c r="AA690" s="139" t="s">
        <v>3010</v>
      </c>
      <c r="AB690" s="139" t="s">
        <v>3011</v>
      </c>
    </row>
    <row r="691" spans="27:28" hidden="1">
      <c r="AA691" s="139" t="s">
        <v>3012</v>
      </c>
      <c r="AB691" s="139" t="s">
        <v>3013</v>
      </c>
    </row>
    <row r="692" spans="27:28" hidden="1">
      <c r="AA692" s="139" t="s">
        <v>3014</v>
      </c>
      <c r="AB692" s="139" t="s">
        <v>3015</v>
      </c>
    </row>
    <row r="693" spans="27:28" hidden="1">
      <c r="AA693" s="139" t="s">
        <v>3016</v>
      </c>
      <c r="AB693" s="139" t="s">
        <v>3017</v>
      </c>
    </row>
    <row r="694" spans="27:28" hidden="1">
      <c r="AA694" s="139" t="s">
        <v>3018</v>
      </c>
      <c r="AB694" s="139" t="s">
        <v>3019</v>
      </c>
    </row>
    <row r="695" spans="27:28" hidden="1">
      <c r="AA695" s="139" t="s">
        <v>3020</v>
      </c>
      <c r="AB695" s="139" t="s">
        <v>3021</v>
      </c>
    </row>
    <row r="696" spans="27:28" hidden="1">
      <c r="AA696" s="139" t="s">
        <v>3022</v>
      </c>
      <c r="AB696" s="139" t="s">
        <v>3023</v>
      </c>
    </row>
    <row r="697" spans="27:28" hidden="1">
      <c r="AA697" s="139" t="s">
        <v>3024</v>
      </c>
      <c r="AB697" s="139" t="s">
        <v>3025</v>
      </c>
    </row>
    <row r="698" spans="27:28" hidden="1">
      <c r="AA698" s="139" t="s">
        <v>3026</v>
      </c>
      <c r="AB698" s="139" t="s">
        <v>3027</v>
      </c>
    </row>
    <row r="699" spans="27:28" hidden="1">
      <c r="AA699" s="139" t="s">
        <v>3028</v>
      </c>
      <c r="AB699" s="139" t="s">
        <v>3029</v>
      </c>
    </row>
    <row r="700" spans="27:28" hidden="1">
      <c r="AA700" s="139" t="s">
        <v>3030</v>
      </c>
      <c r="AB700" s="139" t="s">
        <v>3031</v>
      </c>
    </row>
    <row r="701" spans="27:28" hidden="1">
      <c r="AA701" s="139" t="s">
        <v>3032</v>
      </c>
      <c r="AB701" s="139" t="s">
        <v>3033</v>
      </c>
    </row>
    <row r="702" spans="27:28" hidden="1">
      <c r="AA702" s="139" t="s">
        <v>3034</v>
      </c>
      <c r="AB702" s="139" t="s">
        <v>3035</v>
      </c>
    </row>
    <row r="703" spans="27:28" hidden="1">
      <c r="AA703" s="139" t="s">
        <v>3036</v>
      </c>
      <c r="AB703" s="139" t="s">
        <v>3037</v>
      </c>
    </row>
    <row r="704" spans="27:28" hidden="1">
      <c r="AA704" s="139" t="s">
        <v>3038</v>
      </c>
      <c r="AB704" s="139" t="s">
        <v>3039</v>
      </c>
    </row>
    <row r="705" spans="27:28" hidden="1">
      <c r="AA705" s="139" t="s">
        <v>3040</v>
      </c>
      <c r="AB705" s="139" t="s">
        <v>3041</v>
      </c>
    </row>
    <row r="706" spans="27:28" hidden="1">
      <c r="AA706" s="139" t="s">
        <v>3042</v>
      </c>
      <c r="AB706" s="139" t="s">
        <v>3043</v>
      </c>
    </row>
    <row r="707" spans="27:28" hidden="1">
      <c r="AA707" s="139" t="s">
        <v>3044</v>
      </c>
      <c r="AB707" s="139" t="s">
        <v>3045</v>
      </c>
    </row>
    <row r="708" spans="27:28" hidden="1">
      <c r="AA708" s="139" t="s">
        <v>3046</v>
      </c>
      <c r="AB708" s="139" t="s">
        <v>3047</v>
      </c>
    </row>
    <row r="709" spans="27:28" hidden="1">
      <c r="AA709" s="139" t="s">
        <v>3048</v>
      </c>
      <c r="AB709" s="139" t="s">
        <v>3049</v>
      </c>
    </row>
    <row r="710" spans="27:28" hidden="1">
      <c r="AA710" s="139" t="s">
        <v>3050</v>
      </c>
      <c r="AB710" s="139" t="s">
        <v>3051</v>
      </c>
    </row>
    <row r="711" spans="27:28" hidden="1">
      <c r="AA711" s="139" t="s">
        <v>3052</v>
      </c>
      <c r="AB711" s="139" t="s">
        <v>3053</v>
      </c>
    </row>
    <row r="712" spans="27:28" hidden="1">
      <c r="AA712" s="139" t="s">
        <v>3054</v>
      </c>
      <c r="AB712" s="139" t="s">
        <v>3055</v>
      </c>
    </row>
    <row r="713" spans="27:28" hidden="1">
      <c r="AA713" s="139" t="s">
        <v>3056</v>
      </c>
      <c r="AB713" s="139" t="s">
        <v>3057</v>
      </c>
    </row>
    <row r="714" spans="27:28" hidden="1">
      <c r="AA714" s="139" t="s">
        <v>3058</v>
      </c>
      <c r="AB714" s="139" t="s">
        <v>3059</v>
      </c>
    </row>
    <row r="715" spans="27:28" hidden="1">
      <c r="AA715" s="139" t="s">
        <v>3060</v>
      </c>
      <c r="AB715" s="139" t="s">
        <v>3061</v>
      </c>
    </row>
    <row r="716" spans="27:28" hidden="1">
      <c r="AA716" s="139" t="s">
        <v>3062</v>
      </c>
      <c r="AB716" s="139" t="s">
        <v>3063</v>
      </c>
    </row>
    <row r="717" spans="27:28" hidden="1">
      <c r="AA717" s="139" t="s">
        <v>3064</v>
      </c>
      <c r="AB717" s="139" t="s">
        <v>3065</v>
      </c>
    </row>
    <row r="718" spans="27:28" hidden="1">
      <c r="AA718" s="139" t="s">
        <v>3066</v>
      </c>
      <c r="AB718" s="139" t="s">
        <v>3067</v>
      </c>
    </row>
    <row r="719" spans="27:28" hidden="1">
      <c r="AA719" s="139" t="s">
        <v>3068</v>
      </c>
      <c r="AB719" s="139" t="s">
        <v>3069</v>
      </c>
    </row>
    <row r="720" spans="27:28" hidden="1">
      <c r="AA720" s="139" t="s">
        <v>3070</v>
      </c>
      <c r="AB720" s="139" t="s">
        <v>3071</v>
      </c>
    </row>
    <row r="721" spans="27:28" hidden="1">
      <c r="AA721" s="139" t="s">
        <v>3072</v>
      </c>
      <c r="AB721" s="139" t="s">
        <v>3073</v>
      </c>
    </row>
    <row r="722" spans="27:28" hidden="1">
      <c r="AA722" s="139" t="s">
        <v>3074</v>
      </c>
      <c r="AB722" s="139" t="s">
        <v>3075</v>
      </c>
    </row>
    <row r="723" spans="27:28" hidden="1">
      <c r="AA723" s="139" t="s">
        <v>3076</v>
      </c>
      <c r="AB723" s="139" t="s">
        <v>3077</v>
      </c>
    </row>
    <row r="724" spans="27:28" hidden="1">
      <c r="AA724" s="139" t="s">
        <v>3078</v>
      </c>
      <c r="AB724" s="139" t="s">
        <v>3079</v>
      </c>
    </row>
    <row r="725" spans="27:28" hidden="1">
      <c r="AA725" s="139" t="s">
        <v>3080</v>
      </c>
      <c r="AB725" s="139" t="s">
        <v>3081</v>
      </c>
    </row>
    <row r="726" spans="27:28" hidden="1">
      <c r="AA726" s="139" t="s">
        <v>3082</v>
      </c>
      <c r="AB726" s="139" t="s">
        <v>3083</v>
      </c>
    </row>
    <row r="727" spans="27:28" hidden="1">
      <c r="AA727" s="139" t="s">
        <v>3084</v>
      </c>
      <c r="AB727" s="139" t="s">
        <v>3085</v>
      </c>
    </row>
    <row r="728" spans="27:28" hidden="1">
      <c r="AA728" s="139" t="s">
        <v>3086</v>
      </c>
      <c r="AB728" s="139" t="s">
        <v>3087</v>
      </c>
    </row>
    <row r="729" spans="27:28" hidden="1">
      <c r="AA729" s="139" t="s">
        <v>3088</v>
      </c>
      <c r="AB729" s="139" t="s">
        <v>3089</v>
      </c>
    </row>
    <row r="730" spans="27:28" hidden="1">
      <c r="AA730" s="139" t="s">
        <v>3090</v>
      </c>
      <c r="AB730" s="139" t="s">
        <v>3091</v>
      </c>
    </row>
    <row r="731" spans="27:28" hidden="1">
      <c r="AA731" s="139" t="s">
        <v>3092</v>
      </c>
      <c r="AB731" s="139" t="s">
        <v>3093</v>
      </c>
    </row>
    <row r="732" spans="27:28" hidden="1">
      <c r="AA732" s="139" t="s">
        <v>3094</v>
      </c>
      <c r="AB732" s="139" t="s">
        <v>3095</v>
      </c>
    </row>
    <row r="733" spans="27:28" hidden="1">
      <c r="AA733" s="139" t="s">
        <v>3096</v>
      </c>
      <c r="AB733" s="139" t="s">
        <v>3097</v>
      </c>
    </row>
    <row r="734" spans="27:28" hidden="1">
      <c r="AA734" s="139" t="s">
        <v>3098</v>
      </c>
      <c r="AB734" s="139" t="s">
        <v>3099</v>
      </c>
    </row>
    <row r="735" spans="27:28" hidden="1">
      <c r="AA735" s="139" t="s">
        <v>3100</v>
      </c>
      <c r="AB735" s="139" t="s">
        <v>3101</v>
      </c>
    </row>
    <row r="736" spans="27:28" hidden="1">
      <c r="AA736" s="139" t="s">
        <v>3102</v>
      </c>
      <c r="AB736" s="139" t="s">
        <v>3103</v>
      </c>
    </row>
    <row r="737" spans="27:28" hidden="1">
      <c r="AA737" s="139" t="s">
        <v>3104</v>
      </c>
      <c r="AB737" s="139" t="s">
        <v>3105</v>
      </c>
    </row>
    <row r="738" spans="27:28" hidden="1">
      <c r="AA738" s="139" t="s">
        <v>3106</v>
      </c>
      <c r="AB738" s="139" t="s">
        <v>3107</v>
      </c>
    </row>
    <row r="739" spans="27:28" hidden="1">
      <c r="AA739" s="139" t="s">
        <v>3108</v>
      </c>
      <c r="AB739" s="139" t="s">
        <v>3109</v>
      </c>
    </row>
    <row r="740" spans="27:28" hidden="1">
      <c r="AA740" s="139" t="s">
        <v>3110</v>
      </c>
      <c r="AB740" s="139" t="s">
        <v>3111</v>
      </c>
    </row>
    <row r="741" spans="27:28" hidden="1">
      <c r="AA741" s="139" t="s">
        <v>3112</v>
      </c>
      <c r="AB741" s="139" t="s">
        <v>3113</v>
      </c>
    </row>
    <row r="742" spans="27:28" hidden="1">
      <c r="AA742" s="139" t="s">
        <v>3114</v>
      </c>
      <c r="AB742" s="139" t="s">
        <v>3115</v>
      </c>
    </row>
    <row r="743" spans="27:28" hidden="1">
      <c r="AA743" s="139" t="s">
        <v>3116</v>
      </c>
      <c r="AB743" s="139" t="s">
        <v>3117</v>
      </c>
    </row>
    <row r="744" spans="27:28" hidden="1">
      <c r="AA744" s="139" t="s">
        <v>3118</v>
      </c>
      <c r="AB744" s="139" t="s">
        <v>3119</v>
      </c>
    </row>
    <row r="745" spans="27:28" hidden="1">
      <c r="AA745" s="139" t="s">
        <v>3120</v>
      </c>
      <c r="AB745" s="139" t="s">
        <v>3121</v>
      </c>
    </row>
    <row r="746" spans="27:28" hidden="1">
      <c r="AA746" s="139" t="s">
        <v>3122</v>
      </c>
      <c r="AB746" s="139" t="s">
        <v>3123</v>
      </c>
    </row>
    <row r="747" spans="27:28" hidden="1">
      <c r="AA747" s="139" t="s">
        <v>3124</v>
      </c>
      <c r="AB747" s="139" t="s">
        <v>3125</v>
      </c>
    </row>
    <row r="748" spans="27:28" hidden="1">
      <c r="AA748" s="139" t="s">
        <v>3126</v>
      </c>
      <c r="AB748" s="139" t="s">
        <v>3127</v>
      </c>
    </row>
    <row r="749" spans="27:28" hidden="1">
      <c r="AA749" s="139" t="s">
        <v>3128</v>
      </c>
      <c r="AB749" s="139" t="s">
        <v>3129</v>
      </c>
    </row>
    <row r="750" spans="27:28" hidden="1">
      <c r="AA750" s="139" t="s">
        <v>3130</v>
      </c>
      <c r="AB750" s="139" t="s">
        <v>3131</v>
      </c>
    </row>
    <row r="751" spans="27:28" hidden="1">
      <c r="AA751" s="139" t="s">
        <v>3132</v>
      </c>
      <c r="AB751" s="139" t="s">
        <v>3133</v>
      </c>
    </row>
    <row r="752" spans="27:28" hidden="1">
      <c r="AA752" s="139" t="s">
        <v>3134</v>
      </c>
      <c r="AB752" s="139" t="s">
        <v>3135</v>
      </c>
    </row>
    <row r="753" spans="27:28" hidden="1">
      <c r="AA753" s="139" t="s">
        <v>3136</v>
      </c>
      <c r="AB753" s="139" t="s">
        <v>3137</v>
      </c>
    </row>
    <row r="754" spans="27:28" hidden="1">
      <c r="AA754" s="139" t="s">
        <v>3138</v>
      </c>
      <c r="AB754" s="139" t="s">
        <v>3139</v>
      </c>
    </row>
    <row r="755" spans="27:28" hidden="1">
      <c r="AA755" s="139" t="s">
        <v>3140</v>
      </c>
      <c r="AB755" s="139" t="s">
        <v>3141</v>
      </c>
    </row>
    <row r="756" spans="27:28" hidden="1">
      <c r="AA756" s="139" t="s">
        <v>3142</v>
      </c>
      <c r="AB756" s="139" t="s">
        <v>3143</v>
      </c>
    </row>
    <row r="757" spans="27:28" hidden="1">
      <c r="AA757" s="139" t="s">
        <v>3144</v>
      </c>
      <c r="AB757" s="139" t="s">
        <v>3145</v>
      </c>
    </row>
    <row r="758" spans="27:28" hidden="1">
      <c r="AA758" s="139" t="s">
        <v>3146</v>
      </c>
      <c r="AB758" s="139" t="s">
        <v>3147</v>
      </c>
    </row>
    <row r="759" spans="27:28" hidden="1">
      <c r="AA759" s="139" t="s">
        <v>3148</v>
      </c>
      <c r="AB759" s="139" t="s">
        <v>3149</v>
      </c>
    </row>
    <row r="760" spans="27:28" hidden="1">
      <c r="AA760" s="139" t="s">
        <v>3150</v>
      </c>
      <c r="AB760" s="139" t="s">
        <v>3151</v>
      </c>
    </row>
    <row r="761" spans="27:28" hidden="1">
      <c r="AA761" s="139" t="s">
        <v>3152</v>
      </c>
      <c r="AB761" s="139" t="s">
        <v>3153</v>
      </c>
    </row>
    <row r="762" spans="27:28" hidden="1">
      <c r="AA762" s="139" t="s">
        <v>3154</v>
      </c>
      <c r="AB762" s="139" t="s">
        <v>3155</v>
      </c>
    </row>
    <row r="763" spans="27:28" hidden="1">
      <c r="AA763" s="139" t="s">
        <v>3156</v>
      </c>
      <c r="AB763" s="139" t="s">
        <v>3157</v>
      </c>
    </row>
    <row r="764" spans="27:28" hidden="1">
      <c r="AA764" s="139" t="s">
        <v>3158</v>
      </c>
      <c r="AB764" s="139" t="s">
        <v>3159</v>
      </c>
    </row>
    <row r="765" spans="27:28" hidden="1">
      <c r="AA765" s="139" t="s">
        <v>3160</v>
      </c>
      <c r="AB765" s="139" t="s">
        <v>3161</v>
      </c>
    </row>
    <row r="766" spans="27:28" hidden="1">
      <c r="AA766" s="139" t="s">
        <v>3162</v>
      </c>
      <c r="AB766" s="139" t="s">
        <v>3163</v>
      </c>
    </row>
    <row r="767" spans="27:28" hidden="1">
      <c r="AA767" s="139" t="s">
        <v>3164</v>
      </c>
      <c r="AB767" s="139" t="s">
        <v>3165</v>
      </c>
    </row>
    <row r="768" spans="27:28" hidden="1">
      <c r="AA768" s="139" t="s">
        <v>3166</v>
      </c>
      <c r="AB768" s="139" t="s">
        <v>3167</v>
      </c>
    </row>
    <row r="769" spans="27:28" hidden="1">
      <c r="AA769" s="139" t="s">
        <v>3168</v>
      </c>
      <c r="AB769" s="139" t="s">
        <v>3169</v>
      </c>
    </row>
    <row r="770" spans="27:28" hidden="1">
      <c r="AA770" s="139" t="s">
        <v>3170</v>
      </c>
      <c r="AB770" s="139" t="s">
        <v>3171</v>
      </c>
    </row>
    <row r="771" spans="27:28" hidden="1">
      <c r="AA771" s="139" t="s">
        <v>3172</v>
      </c>
      <c r="AB771" s="139" t="s">
        <v>3173</v>
      </c>
    </row>
    <row r="772" spans="27:28" hidden="1">
      <c r="AA772" s="139" t="s">
        <v>3174</v>
      </c>
      <c r="AB772" s="139" t="s">
        <v>3175</v>
      </c>
    </row>
    <row r="773" spans="27:28" hidden="1">
      <c r="AA773" s="139" t="s">
        <v>3176</v>
      </c>
      <c r="AB773" s="139" t="s">
        <v>3177</v>
      </c>
    </row>
    <row r="774" spans="27:28" hidden="1">
      <c r="AA774" s="139" t="s">
        <v>3178</v>
      </c>
      <c r="AB774" s="139" t="s">
        <v>3179</v>
      </c>
    </row>
    <row r="775" spans="27:28" hidden="1">
      <c r="AA775" s="139" t="s">
        <v>3180</v>
      </c>
      <c r="AB775" s="139" t="s">
        <v>2551</v>
      </c>
    </row>
    <row r="776" spans="27:28" hidden="1">
      <c r="AA776" s="139" t="s">
        <v>3181</v>
      </c>
      <c r="AB776" s="139" t="s">
        <v>3182</v>
      </c>
    </row>
    <row r="777" spans="27:28" hidden="1">
      <c r="AA777" s="139" t="s">
        <v>3183</v>
      </c>
      <c r="AB777" s="139" t="s">
        <v>3184</v>
      </c>
    </row>
    <row r="778" spans="27:28" hidden="1">
      <c r="AA778" s="139" t="s">
        <v>3185</v>
      </c>
      <c r="AB778" s="139" t="s">
        <v>3186</v>
      </c>
    </row>
    <row r="779" spans="27:28" hidden="1">
      <c r="AA779" s="139" t="s">
        <v>3187</v>
      </c>
      <c r="AB779" s="139" t="s">
        <v>3188</v>
      </c>
    </row>
    <row r="780" spans="27:28" hidden="1">
      <c r="AA780" s="139" t="s">
        <v>3189</v>
      </c>
      <c r="AB780" s="139" t="s">
        <v>3190</v>
      </c>
    </row>
    <row r="781" spans="27:28" hidden="1">
      <c r="AA781" s="139" t="s">
        <v>3191</v>
      </c>
      <c r="AB781" s="139" t="s">
        <v>3192</v>
      </c>
    </row>
    <row r="782" spans="27:28" hidden="1">
      <c r="AA782" s="139" t="s">
        <v>3193</v>
      </c>
      <c r="AB782" s="139" t="s">
        <v>3194</v>
      </c>
    </row>
    <row r="783" spans="27:28" hidden="1">
      <c r="AA783" s="139" t="s">
        <v>3195</v>
      </c>
      <c r="AB783" s="139" t="s">
        <v>3196</v>
      </c>
    </row>
    <row r="784" spans="27:28" hidden="1">
      <c r="AA784" s="139" t="s">
        <v>3197</v>
      </c>
      <c r="AB784" s="139" t="s">
        <v>3198</v>
      </c>
    </row>
    <row r="785" spans="27:28" hidden="1">
      <c r="AA785" s="139" t="s">
        <v>3199</v>
      </c>
      <c r="AB785" s="139" t="s">
        <v>3200</v>
      </c>
    </row>
    <row r="786" spans="27:28" hidden="1">
      <c r="AA786" s="139" t="s">
        <v>3201</v>
      </c>
      <c r="AB786" s="139" t="s">
        <v>3202</v>
      </c>
    </row>
    <row r="787" spans="27:28" hidden="1">
      <c r="AA787" s="139" t="s">
        <v>3203</v>
      </c>
      <c r="AB787" s="139" t="s">
        <v>3204</v>
      </c>
    </row>
    <row r="788" spans="27:28" hidden="1">
      <c r="AA788" s="139" t="s">
        <v>3205</v>
      </c>
      <c r="AB788" s="139" t="s">
        <v>3206</v>
      </c>
    </row>
    <row r="789" spans="27:28" hidden="1">
      <c r="AA789" s="139" t="s">
        <v>3207</v>
      </c>
      <c r="AB789" s="139" t="s">
        <v>3208</v>
      </c>
    </row>
    <row r="790" spans="27:28" hidden="1">
      <c r="AA790" s="139" t="s">
        <v>3209</v>
      </c>
      <c r="AB790" s="139" t="s">
        <v>3210</v>
      </c>
    </row>
    <row r="791" spans="27:28" hidden="1">
      <c r="AA791" s="139" t="s">
        <v>3211</v>
      </c>
      <c r="AB791" s="139" t="s">
        <v>3212</v>
      </c>
    </row>
    <row r="792" spans="27:28" hidden="1">
      <c r="AA792" s="139" t="s">
        <v>3213</v>
      </c>
      <c r="AB792" s="139" t="s">
        <v>3214</v>
      </c>
    </row>
    <row r="793" spans="27:28" hidden="1">
      <c r="AA793" s="139" t="s">
        <v>3215</v>
      </c>
      <c r="AB793" s="139" t="s">
        <v>3216</v>
      </c>
    </row>
    <row r="794" spans="27:28" hidden="1">
      <c r="AA794" s="139" t="s">
        <v>3217</v>
      </c>
      <c r="AB794" s="139" t="s">
        <v>3218</v>
      </c>
    </row>
    <row r="795" spans="27:28" hidden="1">
      <c r="AA795" s="139" t="s">
        <v>3219</v>
      </c>
      <c r="AB795" s="139" t="s">
        <v>3220</v>
      </c>
    </row>
    <row r="796" spans="27:28" hidden="1">
      <c r="AA796" s="139" t="s">
        <v>3221</v>
      </c>
      <c r="AB796" s="139" t="s">
        <v>3222</v>
      </c>
    </row>
    <row r="797" spans="27:28" hidden="1">
      <c r="AA797" s="139" t="s">
        <v>3223</v>
      </c>
      <c r="AB797" s="139" t="s">
        <v>3224</v>
      </c>
    </row>
    <row r="798" spans="27:28" hidden="1">
      <c r="AA798" s="139" t="s">
        <v>3225</v>
      </c>
      <c r="AB798" s="139" t="s">
        <v>3226</v>
      </c>
    </row>
    <row r="799" spans="27:28" hidden="1">
      <c r="AA799" s="139" t="s">
        <v>3227</v>
      </c>
      <c r="AB799" s="139" t="s">
        <v>3228</v>
      </c>
    </row>
    <row r="800" spans="27:28" hidden="1">
      <c r="AA800" s="139" t="s">
        <v>3229</v>
      </c>
      <c r="AB800" s="139" t="s">
        <v>3230</v>
      </c>
    </row>
    <row r="801" spans="27:28" hidden="1">
      <c r="AA801" s="139" t="s">
        <v>3231</v>
      </c>
      <c r="AB801" s="139" t="s">
        <v>3232</v>
      </c>
    </row>
    <row r="802" spans="27:28" hidden="1">
      <c r="AA802" s="139" t="s">
        <v>3233</v>
      </c>
      <c r="AB802" s="139" t="s">
        <v>3234</v>
      </c>
    </row>
    <row r="803" spans="27:28" hidden="1">
      <c r="AA803" s="139" t="s">
        <v>3235</v>
      </c>
      <c r="AB803" s="139" t="s">
        <v>3236</v>
      </c>
    </row>
    <row r="804" spans="27:28" hidden="1">
      <c r="AA804" s="139" t="s">
        <v>3237</v>
      </c>
      <c r="AB804" s="139" t="s">
        <v>3238</v>
      </c>
    </row>
    <row r="805" spans="27:28" hidden="1">
      <c r="AA805" s="139" t="s">
        <v>3239</v>
      </c>
      <c r="AB805" s="139" t="s">
        <v>3240</v>
      </c>
    </row>
    <row r="806" spans="27:28" hidden="1">
      <c r="AA806" s="139" t="s">
        <v>3241</v>
      </c>
      <c r="AB806" s="139" t="s">
        <v>3242</v>
      </c>
    </row>
    <row r="807" spans="27:28" hidden="1">
      <c r="AA807" s="139" t="s">
        <v>3243</v>
      </c>
      <c r="AB807" s="139" t="s">
        <v>3244</v>
      </c>
    </row>
    <row r="808" spans="27:28" hidden="1">
      <c r="AA808" s="139" t="s">
        <v>3245</v>
      </c>
      <c r="AB808" s="139" t="s">
        <v>3246</v>
      </c>
    </row>
    <row r="809" spans="27:28" hidden="1">
      <c r="AA809" s="139" t="s">
        <v>3247</v>
      </c>
      <c r="AB809" s="139" t="s">
        <v>3248</v>
      </c>
    </row>
    <row r="810" spans="27:28" hidden="1">
      <c r="AA810" s="139" t="s">
        <v>3249</v>
      </c>
      <c r="AB810" s="139" t="s">
        <v>3250</v>
      </c>
    </row>
    <row r="811" spans="27:28" hidden="1">
      <c r="AA811" s="139" t="s">
        <v>3251</v>
      </c>
      <c r="AB811" s="139" t="s">
        <v>3252</v>
      </c>
    </row>
    <row r="812" spans="27:28" hidden="1">
      <c r="AA812" s="139" t="s">
        <v>3253</v>
      </c>
      <c r="AB812" s="139" t="s">
        <v>3254</v>
      </c>
    </row>
    <row r="813" spans="27:28" hidden="1">
      <c r="AA813" s="139" t="s">
        <v>3255</v>
      </c>
      <c r="AB813" s="139" t="s">
        <v>3256</v>
      </c>
    </row>
    <row r="814" spans="27:28" hidden="1">
      <c r="AA814" s="139" t="s">
        <v>3257</v>
      </c>
      <c r="AB814" s="139" t="s">
        <v>3258</v>
      </c>
    </row>
    <row r="815" spans="27:28" hidden="1">
      <c r="AA815" s="139" t="s">
        <v>3259</v>
      </c>
      <c r="AB815" s="139" t="s">
        <v>3260</v>
      </c>
    </row>
    <row r="816" spans="27:28" hidden="1">
      <c r="AA816" s="139" t="s">
        <v>3261</v>
      </c>
      <c r="AB816" s="139" t="s">
        <v>3262</v>
      </c>
    </row>
    <row r="817" spans="27:28" hidden="1">
      <c r="AA817" s="139" t="s">
        <v>3263</v>
      </c>
      <c r="AB817" s="139" t="s">
        <v>3264</v>
      </c>
    </row>
    <row r="818" spans="27:28" hidden="1">
      <c r="AA818" s="139" t="s">
        <v>3265</v>
      </c>
      <c r="AB818" s="139" t="s">
        <v>3266</v>
      </c>
    </row>
    <row r="819" spans="27:28" hidden="1">
      <c r="AA819" s="139" t="s">
        <v>3267</v>
      </c>
      <c r="AB819" s="139" t="s">
        <v>3198</v>
      </c>
    </row>
    <row r="820" spans="27:28" hidden="1">
      <c r="AA820" s="139" t="s">
        <v>3268</v>
      </c>
      <c r="AB820" s="139" t="s">
        <v>3204</v>
      </c>
    </row>
    <row r="821" spans="27:28" hidden="1">
      <c r="AA821" s="139" t="s">
        <v>3269</v>
      </c>
      <c r="AB821" s="139" t="s">
        <v>3270</v>
      </c>
    </row>
    <row r="822" spans="27:28" hidden="1">
      <c r="AA822" s="139" t="s">
        <v>3271</v>
      </c>
      <c r="AB822" s="139" t="s">
        <v>3272</v>
      </c>
    </row>
    <row r="823" spans="27:28" hidden="1">
      <c r="AA823" s="139" t="s">
        <v>3273</v>
      </c>
      <c r="AB823" s="139" t="s">
        <v>3274</v>
      </c>
    </row>
    <row r="824" spans="27:28" hidden="1">
      <c r="AA824" s="139" t="s">
        <v>3275</v>
      </c>
      <c r="AB824" s="139" t="s">
        <v>3276</v>
      </c>
    </row>
    <row r="825" spans="27:28" hidden="1">
      <c r="AA825" s="139" t="s">
        <v>3277</v>
      </c>
      <c r="AB825" s="139" t="s">
        <v>3278</v>
      </c>
    </row>
    <row r="826" spans="27:28" hidden="1">
      <c r="AA826" s="139" t="s">
        <v>3279</v>
      </c>
      <c r="AB826" s="139" t="s">
        <v>3280</v>
      </c>
    </row>
    <row r="827" spans="27:28" hidden="1">
      <c r="AA827" s="139" t="s">
        <v>3281</v>
      </c>
      <c r="AB827" s="139" t="s">
        <v>3282</v>
      </c>
    </row>
    <row r="828" spans="27:28" hidden="1">
      <c r="AA828" s="139" t="s">
        <v>3283</v>
      </c>
      <c r="AB828" s="139" t="s">
        <v>3284</v>
      </c>
    </row>
    <row r="829" spans="27:28" hidden="1">
      <c r="AA829" s="139" t="s">
        <v>3285</v>
      </c>
      <c r="AB829" s="139" t="s">
        <v>3286</v>
      </c>
    </row>
    <row r="830" spans="27:28" hidden="1">
      <c r="AA830" s="139" t="s">
        <v>3287</v>
      </c>
      <c r="AB830" s="139" t="s">
        <v>3288</v>
      </c>
    </row>
    <row r="831" spans="27:28" hidden="1">
      <c r="AA831" s="139" t="s">
        <v>3289</v>
      </c>
      <c r="AB831" s="139" t="s">
        <v>3290</v>
      </c>
    </row>
    <row r="832" spans="27:28" hidden="1">
      <c r="AA832" s="139" t="s">
        <v>3291</v>
      </c>
      <c r="AB832" s="139" t="s">
        <v>3292</v>
      </c>
    </row>
    <row r="833" spans="27:28" hidden="1">
      <c r="AA833" s="139" t="s">
        <v>3293</v>
      </c>
      <c r="AB833" s="139" t="s">
        <v>3294</v>
      </c>
    </row>
    <row r="834" spans="27:28" hidden="1">
      <c r="AA834" s="139" t="s">
        <v>3295</v>
      </c>
      <c r="AB834" s="139" t="s">
        <v>3296</v>
      </c>
    </row>
    <row r="835" spans="27:28" hidden="1">
      <c r="AA835" s="139" t="s">
        <v>3297</v>
      </c>
      <c r="AB835" s="139" t="s">
        <v>3298</v>
      </c>
    </row>
    <row r="836" spans="27:28" hidden="1">
      <c r="AA836" s="139" t="s">
        <v>3299</v>
      </c>
      <c r="AB836" s="139" t="s">
        <v>3300</v>
      </c>
    </row>
    <row r="837" spans="27:28" hidden="1">
      <c r="AA837" s="139" t="s">
        <v>3301</v>
      </c>
      <c r="AB837" s="139" t="s">
        <v>3302</v>
      </c>
    </row>
    <row r="838" spans="27:28" hidden="1">
      <c r="AA838" s="139" t="s">
        <v>3303</v>
      </c>
      <c r="AB838" s="139" t="s">
        <v>3304</v>
      </c>
    </row>
    <row r="839" spans="27:28" hidden="1">
      <c r="AA839" s="139" t="s">
        <v>3305</v>
      </c>
      <c r="AB839" s="139" t="s">
        <v>3306</v>
      </c>
    </row>
    <row r="840" spans="27:28" hidden="1">
      <c r="AA840" s="139" t="s">
        <v>3307</v>
      </c>
      <c r="AB840" s="139" t="s">
        <v>3308</v>
      </c>
    </row>
    <row r="841" spans="27:28" hidden="1">
      <c r="AA841" s="139" t="s">
        <v>3309</v>
      </c>
      <c r="AB841" s="139" t="s">
        <v>3310</v>
      </c>
    </row>
    <row r="842" spans="27:28" hidden="1">
      <c r="AA842" s="139" t="s">
        <v>3311</v>
      </c>
      <c r="AB842" s="139" t="s">
        <v>3312</v>
      </c>
    </row>
    <row r="843" spans="27:28" hidden="1">
      <c r="AA843" s="139" t="s">
        <v>3313</v>
      </c>
      <c r="AB843" s="139" t="s">
        <v>3314</v>
      </c>
    </row>
    <row r="844" spans="27:28" hidden="1">
      <c r="AA844" s="139" t="s">
        <v>3315</v>
      </c>
      <c r="AB844" s="139" t="s">
        <v>3316</v>
      </c>
    </row>
    <row r="845" spans="27:28" hidden="1">
      <c r="AA845" s="139" t="s">
        <v>3317</v>
      </c>
      <c r="AB845" s="139" t="s">
        <v>3318</v>
      </c>
    </row>
    <row r="846" spans="27:28" hidden="1">
      <c r="AA846" s="139" t="s">
        <v>3319</v>
      </c>
      <c r="AB846" s="139" t="s">
        <v>3320</v>
      </c>
    </row>
    <row r="847" spans="27:28" hidden="1">
      <c r="AA847" s="139" t="s">
        <v>3321</v>
      </c>
      <c r="AB847" s="139" t="s">
        <v>3322</v>
      </c>
    </row>
    <row r="848" spans="27:28" hidden="1">
      <c r="AA848" s="139" t="s">
        <v>3323</v>
      </c>
      <c r="AB848" s="139" t="s">
        <v>3324</v>
      </c>
    </row>
    <row r="849" spans="27:28" hidden="1">
      <c r="AA849" s="139" t="s">
        <v>3325</v>
      </c>
      <c r="AB849" s="139" t="s">
        <v>3326</v>
      </c>
    </row>
    <row r="850" spans="27:28" hidden="1">
      <c r="AA850" s="139" t="s">
        <v>3327</v>
      </c>
      <c r="AB850" s="139" t="s">
        <v>3328</v>
      </c>
    </row>
    <row r="851" spans="27:28" hidden="1">
      <c r="AA851" s="139" t="s">
        <v>3329</v>
      </c>
      <c r="AB851" s="139" t="s">
        <v>3330</v>
      </c>
    </row>
    <row r="852" spans="27:28" hidden="1">
      <c r="AA852" s="139" t="s">
        <v>3331</v>
      </c>
      <c r="AB852" s="139" t="s">
        <v>3332</v>
      </c>
    </row>
    <row r="853" spans="27:28" hidden="1">
      <c r="AA853" s="139" t="s">
        <v>3333</v>
      </c>
      <c r="AB853" s="139" t="s">
        <v>3334</v>
      </c>
    </row>
    <row r="854" spans="27:28" hidden="1">
      <c r="AA854" s="139" t="s">
        <v>3335</v>
      </c>
      <c r="AB854" s="139" t="s">
        <v>2981</v>
      </c>
    </row>
    <row r="855" spans="27:28" hidden="1">
      <c r="AA855" s="139" t="s">
        <v>3336</v>
      </c>
      <c r="AB855" s="139" t="s">
        <v>3337</v>
      </c>
    </row>
    <row r="856" spans="27:28" hidden="1">
      <c r="AA856" s="139" t="s">
        <v>3338</v>
      </c>
      <c r="AB856" s="139" t="s">
        <v>3339</v>
      </c>
    </row>
    <row r="857" spans="27:28" hidden="1">
      <c r="AA857" s="139" t="s">
        <v>3340</v>
      </c>
      <c r="AB857" s="139" t="s">
        <v>3341</v>
      </c>
    </row>
    <row r="858" spans="27:28" hidden="1">
      <c r="AA858" s="139" t="s">
        <v>3342</v>
      </c>
      <c r="AB858" s="139" t="s">
        <v>3343</v>
      </c>
    </row>
    <row r="859" spans="27:28" hidden="1">
      <c r="AA859" s="139" t="s">
        <v>3344</v>
      </c>
      <c r="AB859" s="139" t="s">
        <v>3345</v>
      </c>
    </row>
    <row r="860" spans="27:28" hidden="1">
      <c r="AA860" s="139" t="s">
        <v>3346</v>
      </c>
      <c r="AB860" s="139" t="s">
        <v>3347</v>
      </c>
    </row>
    <row r="861" spans="27:28" hidden="1">
      <c r="AA861" s="139" t="s">
        <v>3348</v>
      </c>
      <c r="AB861" s="139" t="s">
        <v>3349</v>
      </c>
    </row>
    <row r="862" spans="27:28" hidden="1">
      <c r="AA862" s="139" t="s">
        <v>3350</v>
      </c>
      <c r="AB862" s="139" t="s">
        <v>3351</v>
      </c>
    </row>
    <row r="863" spans="27:28" hidden="1">
      <c r="AA863" s="139" t="s">
        <v>3352</v>
      </c>
      <c r="AB863" s="139" t="s">
        <v>3353</v>
      </c>
    </row>
    <row r="864" spans="27:28" hidden="1">
      <c r="AA864" s="139" t="s">
        <v>3354</v>
      </c>
      <c r="AB864" s="139" t="s">
        <v>3355</v>
      </c>
    </row>
    <row r="865" spans="27:28" hidden="1">
      <c r="AA865" s="139" t="s">
        <v>3356</v>
      </c>
      <c r="AB865" s="139" t="s">
        <v>3357</v>
      </c>
    </row>
    <row r="866" spans="27:28" hidden="1">
      <c r="AA866" s="139" t="s">
        <v>984</v>
      </c>
      <c r="AB866" s="139" t="s">
        <v>985</v>
      </c>
    </row>
    <row r="867" spans="27:28" hidden="1">
      <c r="AA867" s="139" t="s">
        <v>986</v>
      </c>
      <c r="AB867" s="139" t="s">
        <v>987</v>
      </c>
    </row>
    <row r="868" spans="27:28" hidden="1">
      <c r="AA868" s="139" t="s">
        <v>988</v>
      </c>
      <c r="AB868" s="139" t="s">
        <v>989</v>
      </c>
    </row>
    <row r="869" spans="27:28" hidden="1">
      <c r="AA869" s="139" t="s">
        <v>1759</v>
      </c>
      <c r="AB869" s="139" t="s">
        <v>1760</v>
      </c>
    </row>
    <row r="870" spans="27:28" hidden="1">
      <c r="AA870" s="139" t="s">
        <v>1761</v>
      </c>
      <c r="AB870" s="139" t="s">
        <v>1762</v>
      </c>
    </row>
    <row r="871" spans="27:28" hidden="1">
      <c r="AA871" s="139" t="s">
        <v>3358</v>
      </c>
      <c r="AB871" s="139" t="s">
        <v>3359</v>
      </c>
    </row>
    <row r="872" spans="27:28" hidden="1">
      <c r="AA872" s="139" t="s">
        <v>3360</v>
      </c>
      <c r="AB872" s="139" t="s">
        <v>3361</v>
      </c>
    </row>
    <row r="873" spans="27:28" hidden="1">
      <c r="AA873" s="139" t="s">
        <v>3362</v>
      </c>
      <c r="AB873" s="139" t="s">
        <v>3363</v>
      </c>
    </row>
    <row r="874" spans="27:28" hidden="1">
      <c r="AA874" s="139" t="s">
        <v>3364</v>
      </c>
      <c r="AB874" s="139" t="s">
        <v>3365</v>
      </c>
    </row>
    <row r="875" spans="27:28" hidden="1">
      <c r="AA875" s="139" t="s">
        <v>3366</v>
      </c>
      <c r="AB875" s="139" t="s">
        <v>3365</v>
      </c>
    </row>
    <row r="876" spans="27:28" hidden="1">
      <c r="AA876" s="139" t="s">
        <v>3367</v>
      </c>
      <c r="AB876" s="139" t="s">
        <v>3368</v>
      </c>
    </row>
    <row r="877" spans="27:28" hidden="1">
      <c r="AA877" s="139" t="s">
        <v>3369</v>
      </c>
      <c r="AB877" s="139" t="s">
        <v>3370</v>
      </c>
    </row>
    <row r="878" spans="27:28" hidden="1">
      <c r="AA878" s="139" t="s">
        <v>990</v>
      </c>
      <c r="AB878" s="139" t="s">
        <v>340</v>
      </c>
    </row>
    <row r="879" spans="27:28" hidden="1">
      <c r="AA879" s="139" t="s">
        <v>991</v>
      </c>
      <c r="AB879" s="139" t="s">
        <v>341</v>
      </c>
    </row>
    <row r="880" spans="27:28" hidden="1">
      <c r="AA880" s="139" t="s">
        <v>992</v>
      </c>
      <c r="AB880" s="139" t="s">
        <v>993</v>
      </c>
    </row>
    <row r="881" spans="27:28" hidden="1">
      <c r="AA881" s="139" t="s">
        <v>994</v>
      </c>
      <c r="AB881" s="139" t="s">
        <v>995</v>
      </c>
    </row>
    <row r="882" spans="27:28" hidden="1">
      <c r="AA882" s="139" t="s">
        <v>1763</v>
      </c>
      <c r="AB882" s="139" t="s">
        <v>1316</v>
      </c>
    </row>
    <row r="883" spans="27:28" hidden="1">
      <c r="AA883" s="139" t="s">
        <v>3371</v>
      </c>
      <c r="AB883" s="139" t="s">
        <v>3372</v>
      </c>
    </row>
    <row r="884" spans="27:28" hidden="1">
      <c r="AA884" s="139" t="s">
        <v>3373</v>
      </c>
      <c r="AB884" s="139" t="s">
        <v>1323</v>
      </c>
    </row>
    <row r="885" spans="27:28" hidden="1">
      <c r="AA885" s="139" t="s">
        <v>996</v>
      </c>
      <c r="AB885" s="139" t="s">
        <v>997</v>
      </c>
    </row>
    <row r="886" spans="27:28" hidden="1">
      <c r="AA886" s="139" t="s">
        <v>998</v>
      </c>
      <c r="AB886" s="139" t="s">
        <v>999</v>
      </c>
    </row>
    <row r="887" spans="27:28" hidden="1">
      <c r="AA887" s="139" t="s">
        <v>1000</v>
      </c>
      <c r="AB887" s="139" t="s">
        <v>1001</v>
      </c>
    </row>
    <row r="888" spans="27:28" hidden="1">
      <c r="AA888" s="139" t="s">
        <v>3374</v>
      </c>
      <c r="AB888" s="139" t="s">
        <v>3375</v>
      </c>
    </row>
    <row r="889" spans="27:28" hidden="1">
      <c r="AA889" s="139" t="s">
        <v>3376</v>
      </c>
      <c r="AB889" s="139" t="s">
        <v>3377</v>
      </c>
    </row>
    <row r="890" spans="27:28" hidden="1">
      <c r="AA890" s="139" t="s">
        <v>1002</v>
      </c>
      <c r="AB890" s="139" t="s">
        <v>1003</v>
      </c>
    </row>
    <row r="891" spans="27:28" hidden="1">
      <c r="AA891" s="139" t="s">
        <v>1004</v>
      </c>
      <c r="AB891" s="139" t="s">
        <v>1005</v>
      </c>
    </row>
    <row r="892" spans="27:28" hidden="1">
      <c r="AA892" s="139" t="s">
        <v>1006</v>
      </c>
      <c r="AB892" s="139" t="s">
        <v>1007</v>
      </c>
    </row>
    <row r="893" spans="27:28" hidden="1">
      <c r="AA893" s="139" t="s">
        <v>1008</v>
      </c>
      <c r="AB893" s="139" t="s">
        <v>1009</v>
      </c>
    </row>
    <row r="894" spans="27:28" hidden="1">
      <c r="AA894" s="139" t="s">
        <v>1010</v>
      </c>
      <c r="AB894" s="139" t="s">
        <v>1011</v>
      </c>
    </row>
    <row r="895" spans="27:28" hidden="1">
      <c r="AA895" s="139" t="s">
        <v>1012</v>
      </c>
      <c r="AB895" s="139" t="s">
        <v>1013</v>
      </c>
    </row>
    <row r="896" spans="27:28" hidden="1">
      <c r="AA896" s="139" t="s">
        <v>1014</v>
      </c>
      <c r="AB896" s="139" t="s">
        <v>1015</v>
      </c>
    </row>
    <row r="897" spans="27:28" hidden="1">
      <c r="AA897" s="139" t="s">
        <v>1016</v>
      </c>
      <c r="AB897" s="139" t="s">
        <v>1017</v>
      </c>
    </row>
    <row r="898" spans="27:28" hidden="1">
      <c r="AA898" s="139" t="s">
        <v>1018</v>
      </c>
      <c r="AB898" s="139" t="s">
        <v>1019</v>
      </c>
    </row>
    <row r="899" spans="27:28" hidden="1">
      <c r="AA899" s="139" t="s">
        <v>1020</v>
      </c>
      <c r="AB899" s="139" t="s">
        <v>1021</v>
      </c>
    </row>
    <row r="900" spans="27:28" hidden="1">
      <c r="AA900" s="139" t="s">
        <v>1022</v>
      </c>
      <c r="AB900" s="139" t="s">
        <v>1023</v>
      </c>
    </row>
    <row r="901" spans="27:28" hidden="1">
      <c r="AA901" s="139" t="s">
        <v>1024</v>
      </c>
      <c r="AB901" s="139" t="s">
        <v>1025</v>
      </c>
    </row>
    <row r="902" spans="27:28" hidden="1">
      <c r="AA902" s="139" t="s">
        <v>1026</v>
      </c>
      <c r="AB902" s="139" t="s">
        <v>1027</v>
      </c>
    </row>
    <row r="903" spans="27:28" hidden="1">
      <c r="AA903" s="139" t="s">
        <v>1028</v>
      </c>
      <c r="AB903" s="139" t="s">
        <v>1029</v>
      </c>
    </row>
    <row r="904" spans="27:28" hidden="1">
      <c r="AA904" s="139" t="s">
        <v>1030</v>
      </c>
      <c r="AB904" s="139" t="s">
        <v>1031</v>
      </c>
    </row>
    <row r="905" spans="27:28" hidden="1">
      <c r="AA905" s="139" t="s">
        <v>1032</v>
      </c>
      <c r="AB905" s="139" t="s">
        <v>1033</v>
      </c>
    </row>
    <row r="906" spans="27:28" hidden="1">
      <c r="AA906" s="139" t="s">
        <v>1034</v>
      </c>
      <c r="AB906" s="139" t="s">
        <v>1035</v>
      </c>
    </row>
    <row r="907" spans="27:28" hidden="1">
      <c r="AA907" s="139" t="s">
        <v>1036</v>
      </c>
      <c r="AB907" s="139" t="s">
        <v>1037</v>
      </c>
    </row>
    <row r="908" spans="27:28" hidden="1">
      <c r="AA908" s="139" t="s">
        <v>1038</v>
      </c>
      <c r="AB908" s="139" t="s">
        <v>1039</v>
      </c>
    </row>
    <row r="909" spans="27:28" hidden="1">
      <c r="AA909" s="139" t="s">
        <v>1040</v>
      </c>
      <c r="AB909" s="139" t="s">
        <v>1041</v>
      </c>
    </row>
    <row r="910" spans="27:28" hidden="1">
      <c r="AA910" s="139" t="s">
        <v>1042</v>
      </c>
      <c r="AB910" s="139" t="s">
        <v>1043</v>
      </c>
    </row>
    <row r="911" spans="27:28" hidden="1">
      <c r="AA911" s="139" t="s">
        <v>1044</v>
      </c>
      <c r="AB911" s="139" t="s">
        <v>1045</v>
      </c>
    </row>
    <row r="912" spans="27:28" hidden="1">
      <c r="AA912" s="139" t="s">
        <v>1046</v>
      </c>
      <c r="AB912" s="139" t="s">
        <v>1047</v>
      </c>
    </row>
    <row r="913" spans="27:28" hidden="1">
      <c r="AA913" s="139" t="s">
        <v>1048</v>
      </c>
      <c r="AB913" s="139" t="s">
        <v>1049</v>
      </c>
    </row>
    <row r="914" spans="27:28" hidden="1">
      <c r="AA914" s="139" t="s">
        <v>1050</v>
      </c>
      <c r="AB914" s="139" t="s">
        <v>1051</v>
      </c>
    </row>
    <row r="915" spans="27:28" hidden="1">
      <c r="AA915" s="139" t="s">
        <v>1764</v>
      </c>
      <c r="AB915" s="139" t="s">
        <v>1765</v>
      </c>
    </row>
    <row r="916" spans="27:28" hidden="1">
      <c r="AA916" s="139" t="s">
        <v>1766</v>
      </c>
      <c r="AB916" s="139" t="s">
        <v>1767</v>
      </c>
    </row>
    <row r="917" spans="27:28" hidden="1">
      <c r="AA917" s="139" t="s">
        <v>1768</v>
      </c>
      <c r="AB917" s="139" t="s">
        <v>1769</v>
      </c>
    </row>
    <row r="918" spans="27:28" hidden="1">
      <c r="AA918" s="139" t="s">
        <v>1770</v>
      </c>
      <c r="AB918" s="139" t="s">
        <v>1771</v>
      </c>
    </row>
    <row r="919" spans="27:28" hidden="1">
      <c r="AA919" s="139" t="s">
        <v>1772</v>
      </c>
      <c r="AB919" s="139" t="s">
        <v>1773</v>
      </c>
    </row>
    <row r="920" spans="27:28" hidden="1">
      <c r="AA920" s="139" t="s">
        <v>1774</v>
      </c>
      <c r="AB920" s="139" t="s">
        <v>1775</v>
      </c>
    </row>
    <row r="921" spans="27:28" hidden="1">
      <c r="AA921" s="139" t="s">
        <v>1776</v>
      </c>
      <c r="AB921" s="139" t="s">
        <v>1777</v>
      </c>
    </row>
    <row r="922" spans="27:28" hidden="1">
      <c r="AA922" s="139" t="s">
        <v>1778</v>
      </c>
      <c r="AB922" s="139" t="s">
        <v>1779</v>
      </c>
    </row>
    <row r="923" spans="27:28" hidden="1">
      <c r="AA923" s="139" t="s">
        <v>1780</v>
      </c>
      <c r="AB923" s="139" t="s">
        <v>1781</v>
      </c>
    </row>
    <row r="924" spans="27:28" hidden="1">
      <c r="AA924" s="139" t="s">
        <v>1782</v>
      </c>
      <c r="AB924" s="139" t="s">
        <v>1783</v>
      </c>
    </row>
    <row r="925" spans="27:28" hidden="1">
      <c r="AA925" s="139" t="s">
        <v>1784</v>
      </c>
      <c r="AB925" s="139" t="s">
        <v>1785</v>
      </c>
    </row>
    <row r="926" spans="27:28" hidden="1">
      <c r="AA926" s="139" t="s">
        <v>1786</v>
      </c>
      <c r="AB926" s="139" t="s">
        <v>1787</v>
      </c>
    </row>
    <row r="927" spans="27:28" hidden="1">
      <c r="AA927" s="139" t="s">
        <v>1788</v>
      </c>
      <c r="AB927" s="139" t="s">
        <v>1789</v>
      </c>
    </row>
    <row r="928" spans="27:28" hidden="1">
      <c r="AA928" s="139" t="s">
        <v>1790</v>
      </c>
      <c r="AB928" s="139" t="s">
        <v>1791</v>
      </c>
    </row>
    <row r="929" spans="27:28" hidden="1">
      <c r="AA929" s="139" t="s">
        <v>1792</v>
      </c>
      <c r="AB929" s="139" t="s">
        <v>1793</v>
      </c>
    </row>
    <row r="930" spans="27:28" hidden="1">
      <c r="AA930" s="139" t="s">
        <v>1794</v>
      </c>
      <c r="AB930" s="139" t="s">
        <v>1795</v>
      </c>
    </row>
    <row r="931" spans="27:28" hidden="1">
      <c r="AA931" s="139" t="s">
        <v>1796</v>
      </c>
      <c r="AB931" s="139" t="s">
        <v>1797</v>
      </c>
    </row>
    <row r="932" spans="27:28" hidden="1">
      <c r="AA932" s="139" t="s">
        <v>1798</v>
      </c>
      <c r="AB932" s="139" t="s">
        <v>1799</v>
      </c>
    </row>
    <row r="933" spans="27:28" hidden="1">
      <c r="AA933" s="139" t="s">
        <v>1800</v>
      </c>
      <c r="AB933" s="139" t="s">
        <v>1801</v>
      </c>
    </row>
    <row r="934" spans="27:28" hidden="1">
      <c r="AA934" s="139" t="s">
        <v>1802</v>
      </c>
      <c r="AB934" s="139" t="s">
        <v>1803</v>
      </c>
    </row>
    <row r="935" spans="27:28" hidden="1">
      <c r="AA935" s="139" t="s">
        <v>1804</v>
      </c>
      <c r="AB935" s="139" t="s">
        <v>1805</v>
      </c>
    </row>
    <row r="936" spans="27:28" hidden="1">
      <c r="AA936" s="139" t="s">
        <v>1806</v>
      </c>
      <c r="AB936" s="139" t="s">
        <v>1807</v>
      </c>
    </row>
    <row r="937" spans="27:28" hidden="1">
      <c r="AA937" s="139" t="s">
        <v>1808</v>
      </c>
      <c r="AB937" s="139" t="s">
        <v>1809</v>
      </c>
    </row>
    <row r="938" spans="27:28" hidden="1">
      <c r="AA938" s="139" t="s">
        <v>1810</v>
      </c>
      <c r="AB938" s="139" t="s">
        <v>1811</v>
      </c>
    </row>
    <row r="939" spans="27:28" hidden="1">
      <c r="AA939" s="139" t="s">
        <v>1812</v>
      </c>
      <c r="AB939" s="139" t="s">
        <v>1813</v>
      </c>
    </row>
    <row r="940" spans="27:28" hidden="1">
      <c r="AA940" s="139" t="s">
        <v>1814</v>
      </c>
      <c r="AB940" s="139" t="s">
        <v>1815</v>
      </c>
    </row>
    <row r="941" spans="27:28" hidden="1">
      <c r="AA941" s="139" t="s">
        <v>3378</v>
      </c>
      <c r="AB941" s="139" t="s">
        <v>3379</v>
      </c>
    </row>
    <row r="942" spans="27:28" hidden="1">
      <c r="AA942" s="139" t="s">
        <v>3380</v>
      </c>
      <c r="AB942" s="139" t="s">
        <v>3381</v>
      </c>
    </row>
    <row r="943" spans="27:28" hidden="1">
      <c r="AA943" s="139" t="s">
        <v>3382</v>
      </c>
      <c r="AB943" s="139" t="s">
        <v>3383</v>
      </c>
    </row>
    <row r="944" spans="27:28" hidden="1">
      <c r="AA944" s="139" t="s">
        <v>3384</v>
      </c>
      <c r="AB944" s="139" t="s">
        <v>3385</v>
      </c>
    </row>
    <row r="945" spans="27:28" hidden="1">
      <c r="AA945" s="139" t="s">
        <v>3386</v>
      </c>
      <c r="AB945" s="139" t="s">
        <v>3387</v>
      </c>
    </row>
    <row r="946" spans="27:28" hidden="1">
      <c r="AA946" s="139" t="s">
        <v>3388</v>
      </c>
      <c r="AB946" s="139" t="s">
        <v>3389</v>
      </c>
    </row>
    <row r="947" spans="27:28" hidden="1">
      <c r="AA947" s="139" t="s">
        <v>3390</v>
      </c>
      <c r="AB947" s="139" t="s">
        <v>3391</v>
      </c>
    </row>
    <row r="948" spans="27:28" hidden="1">
      <c r="AA948" s="139" t="s">
        <v>3392</v>
      </c>
      <c r="AB948" s="139" t="s">
        <v>3393</v>
      </c>
    </row>
    <row r="949" spans="27:28" hidden="1">
      <c r="AA949" s="139" t="s">
        <v>3394</v>
      </c>
      <c r="AB949" s="139" t="s">
        <v>3395</v>
      </c>
    </row>
    <row r="950" spans="27:28" hidden="1">
      <c r="AA950" s="139" t="s">
        <v>3396</v>
      </c>
      <c r="AB950" s="139" t="s">
        <v>3397</v>
      </c>
    </row>
    <row r="951" spans="27:28" hidden="1">
      <c r="AA951" s="139" t="s">
        <v>3398</v>
      </c>
      <c r="AB951" s="139" t="s">
        <v>3399</v>
      </c>
    </row>
    <row r="952" spans="27:28" hidden="1">
      <c r="AA952" s="139" t="s">
        <v>3400</v>
      </c>
      <c r="AB952" s="139" t="s">
        <v>3401</v>
      </c>
    </row>
    <row r="953" spans="27:28" hidden="1">
      <c r="AA953" s="139" t="s">
        <v>3402</v>
      </c>
      <c r="AB953" s="139" t="s">
        <v>3403</v>
      </c>
    </row>
    <row r="954" spans="27:28" hidden="1">
      <c r="AA954" s="139" t="s">
        <v>3404</v>
      </c>
      <c r="AB954" s="139" t="s">
        <v>3405</v>
      </c>
    </row>
    <row r="955" spans="27:28" hidden="1">
      <c r="AA955" s="139" t="s">
        <v>3406</v>
      </c>
      <c r="AB955" s="139" t="s">
        <v>3407</v>
      </c>
    </row>
    <row r="956" spans="27:28" hidden="1">
      <c r="AA956" s="139" t="s">
        <v>3408</v>
      </c>
      <c r="AB956" s="139" t="s">
        <v>3409</v>
      </c>
    </row>
    <row r="957" spans="27:28" hidden="1">
      <c r="AA957" s="139" t="s">
        <v>3410</v>
      </c>
      <c r="AB957" s="139" t="s">
        <v>3411</v>
      </c>
    </row>
    <row r="958" spans="27:28" hidden="1">
      <c r="AA958" s="139" t="s">
        <v>3412</v>
      </c>
      <c r="AB958" s="139" t="s">
        <v>3413</v>
      </c>
    </row>
    <row r="959" spans="27:28" hidden="1">
      <c r="AA959" s="139" t="s">
        <v>3414</v>
      </c>
      <c r="AB959" s="139" t="s">
        <v>3415</v>
      </c>
    </row>
    <row r="960" spans="27:28" hidden="1">
      <c r="AA960" s="139" t="s">
        <v>3416</v>
      </c>
      <c r="AB960" s="139" t="s">
        <v>3417</v>
      </c>
    </row>
    <row r="961" spans="27:28" hidden="1">
      <c r="AA961" s="139" t="s">
        <v>3418</v>
      </c>
      <c r="AB961" s="139" t="s">
        <v>3419</v>
      </c>
    </row>
    <row r="962" spans="27:28" hidden="1">
      <c r="AA962" s="139" t="s">
        <v>3420</v>
      </c>
      <c r="AB962" s="139" t="s">
        <v>3421</v>
      </c>
    </row>
    <row r="963" spans="27:28" hidden="1">
      <c r="AA963" s="139" t="s">
        <v>3422</v>
      </c>
      <c r="AB963" s="139" t="s">
        <v>3421</v>
      </c>
    </row>
    <row r="964" spans="27:28" hidden="1">
      <c r="AA964" s="139" t="s">
        <v>3423</v>
      </c>
      <c r="AB964" s="139" t="s">
        <v>3424</v>
      </c>
    </row>
    <row r="965" spans="27:28" hidden="1">
      <c r="AA965" s="139" t="s">
        <v>3425</v>
      </c>
      <c r="AB965" s="139" t="s">
        <v>3426</v>
      </c>
    </row>
    <row r="966" spans="27:28" hidden="1">
      <c r="AA966" s="139" t="s">
        <v>3427</v>
      </c>
      <c r="AB966" s="139" t="s">
        <v>3428</v>
      </c>
    </row>
    <row r="967" spans="27:28" hidden="1">
      <c r="AA967" s="139" t="s">
        <v>3429</v>
      </c>
      <c r="AB967" s="139" t="s">
        <v>3430</v>
      </c>
    </row>
    <row r="968" spans="27:28" hidden="1">
      <c r="AA968" s="139" t="s">
        <v>3431</v>
      </c>
      <c r="AB968" s="139" t="s">
        <v>3432</v>
      </c>
    </row>
    <row r="969" spans="27:28" hidden="1">
      <c r="AA969" s="139" t="s">
        <v>3433</v>
      </c>
      <c r="AB969" s="139" t="s">
        <v>3434</v>
      </c>
    </row>
    <row r="970" spans="27:28" hidden="1">
      <c r="AA970" s="139" t="s">
        <v>3435</v>
      </c>
      <c r="AB970" s="139" t="s">
        <v>3436</v>
      </c>
    </row>
    <row r="971" spans="27:28" hidden="1">
      <c r="AA971" s="139" t="s">
        <v>3437</v>
      </c>
      <c r="AB971" s="139" t="s">
        <v>3438</v>
      </c>
    </row>
    <row r="972" spans="27:28" hidden="1">
      <c r="AA972" s="139" t="s">
        <v>3439</v>
      </c>
      <c r="AB972" s="139" t="s">
        <v>3440</v>
      </c>
    </row>
    <row r="973" spans="27:28" hidden="1">
      <c r="AA973" s="139" t="s">
        <v>3441</v>
      </c>
      <c r="AB973" s="139" t="s">
        <v>3442</v>
      </c>
    </row>
    <row r="974" spans="27:28" hidden="1">
      <c r="AA974" s="139" t="s">
        <v>3443</v>
      </c>
      <c r="AB974" s="139" t="s">
        <v>3444</v>
      </c>
    </row>
    <row r="975" spans="27:28" hidden="1">
      <c r="AA975" s="139" t="s">
        <v>3445</v>
      </c>
      <c r="AB975" s="139" t="s">
        <v>3446</v>
      </c>
    </row>
    <row r="976" spans="27:28" hidden="1">
      <c r="AA976" s="139" t="s">
        <v>3447</v>
      </c>
      <c r="AB976" s="139" t="s">
        <v>3448</v>
      </c>
    </row>
    <row r="977" spans="27:28" hidden="1">
      <c r="AA977" s="139" t="s">
        <v>3449</v>
      </c>
      <c r="AB977" s="139" t="s">
        <v>3448</v>
      </c>
    </row>
    <row r="978" spans="27:28" hidden="1">
      <c r="AA978" s="139" t="s">
        <v>3450</v>
      </c>
      <c r="AB978" s="139" t="s">
        <v>3451</v>
      </c>
    </row>
    <row r="979" spans="27:28" hidden="1">
      <c r="AA979" s="139" t="s">
        <v>3452</v>
      </c>
      <c r="AB979" s="139" t="s">
        <v>3453</v>
      </c>
    </row>
    <row r="980" spans="27:28" hidden="1">
      <c r="AA980" s="139" t="s">
        <v>3454</v>
      </c>
      <c r="AB980" s="139" t="s">
        <v>3455</v>
      </c>
    </row>
    <row r="981" spans="27:28" hidden="1">
      <c r="AA981" s="139" t="s">
        <v>3456</v>
      </c>
      <c r="AB981" s="139" t="s">
        <v>3457</v>
      </c>
    </row>
    <row r="982" spans="27:28" hidden="1">
      <c r="AA982" s="139" t="s">
        <v>3458</v>
      </c>
      <c r="AB982" s="139" t="s">
        <v>1795</v>
      </c>
    </row>
    <row r="983" spans="27:28" hidden="1">
      <c r="AA983" s="139" t="s">
        <v>3459</v>
      </c>
      <c r="AB983" s="139" t="s">
        <v>3460</v>
      </c>
    </row>
    <row r="984" spans="27:28" hidden="1">
      <c r="AA984" s="139" t="s">
        <v>3461</v>
      </c>
      <c r="AB984" s="139" t="s">
        <v>3462</v>
      </c>
    </row>
    <row r="985" spans="27:28" hidden="1">
      <c r="AA985" s="139" t="s">
        <v>3463</v>
      </c>
      <c r="AB985" s="139" t="s">
        <v>3464</v>
      </c>
    </row>
    <row r="986" spans="27:28" hidden="1">
      <c r="AA986" s="139" t="s">
        <v>3465</v>
      </c>
      <c r="AB986" s="139" t="s">
        <v>3466</v>
      </c>
    </row>
    <row r="987" spans="27:28" hidden="1">
      <c r="AA987" s="139" t="s">
        <v>3467</v>
      </c>
      <c r="AB987" s="139" t="s">
        <v>3468</v>
      </c>
    </row>
    <row r="988" spans="27:28" hidden="1">
      <c r="AA988" s="139" t="s">
        <v>3469</v>
      </c>
      <c r="AB988" s="139" t="s">
        <v>3446</v>
      </c>
    </row>
    <row r="989" spans="27:28" hidden="1">
      <c r="AA989" s="139" t="s">
        <v>3470</v>
      </c>
      <c r="AB989" s="139" t="s">
        <v>3466</v>
      </c>
    </row>
    <row r="990" spans="27:28" hidden="1">
      <c r="AA990" s="139" t="s">
        <v>3471</v>
      </c>
      <c r="AB990" s="139" t="s">
        <v>3472</v>
      </c>
    </row>
    <row r="991" spans="27:28" hidden="1">
      <c r="AA991" s="139" t="s">
        <v>3473</v>
      </c>
      <c r="AB991" s="139" t="s">
        <v>3474</v>
      </c>
    </row>
    <row r="992" spans="27:28" hidden="1">
      <c r="AA992" s="139" t="s">
        <v>3475</v>
      </c>
      <c r="AB992" s="139" t="s">
        <v>3476</v>
      </c>
    </row>
    <row r="993" spans="27:28" hidden="1">
      <c r="AA993" s="139" t="s">
        <v>3477</v>
      </c>
      <c r="AB993" s="139" t="s">
        <v>3478</v>
      </c>
    </row>
    <row r="994" spans="27:28" hidden="1">
      <c r="AA994" s="139" t="s">
        <v>3479</v>
      </c>
      <c r="AB994" s="139" t="s">
        <v>3480</v>
      </c>
    </row>
    <row r="995" spans="27:28" hidden="1">
      <c r="AA995" s="139" t="s">
        <v>3481</v>
      </c>
      <c r="AB995" s="139" t="s">
        <v>3482</v>
      </c>
    </row>
    <row r="996" spans="27:28" hidden="1">
      <c r="AA996" s="139" t="s">
        <v>3483</v>
      </c>
      <c r="AB996" s="139" t="s">
        <v>3484</v>
      </c>
    </row>
    <row r="997" spans="27:28" hidden="1">
      <c r="AA997" s="139" t="s">
        <v>3485</v>
      </c>
      <c r="AB997" s="139" t="s">
        <v>3486</v>
      </c>
    </row>
    <row r="998" spans="27:28" hidden="1">
      <c r="AA998" s="139" t="s">
        <v>1052</v>
      </c>
      <c r="AB998" s="139" t="s">
        <v>340</v>
      </c>
    </row>
    <row r="999" spans="27:28" hidden="1">
      <c r="AA999" s="139" t="s">
        <v>1053</v>
      </c>
      <c r="AB999" s="139" t="s">
        <v>341</v>
      </c>
    </row>
    <row r="1000" spans="27:28" hidden="1">
      <c r="AA1000" s="139" t="s">
        <v>1054</v>
      </c>
      <c r="AB1000" s="139" t="s">
        <v>1055</v>
      </c>
    </row>
    <row r="1001" spans="27:28" hidden="1">
      <c r="AA1001" s="139" t="s">
        <v>1056</v>
      </c>
      <c r="AB1001" s="139" t="s">
        <v>993</v>
      </c>
    </row>
    <row r="1002" spans="27:28" hidden="1">
      <c r="AA1002" s="139" t="s">
        <v>1816</v>
      </c>
      <c r="AB1002" s="139" t="s">
        <v>1817</v>
      </c>
    </row>
    <row r="1003" spans="27:28" hidden="1">
      <c r="AA1003" s="139" t="s">
        <v>1818</v>
      </c>
      <c r="AB1003" s="139" t="s">
        <v>1316</v>
      </c>
    </row>
    <row r="1004" spans="27:28" hidden="1">
      <c r="AA1004" s="139" t="s">
        <v>3487</v>
      </c>
      <c r="AB1004" s="139" t="s">
        <v>3372</v>
      </c>
    </row>
    <row r="1005" spans="27:28" hidden="1">
      <c r="AA1005" s="139" t="s">
        <v>1328</v>
      </c>
      <c r="AB1005" s="139" t="s">
        <v>1329</v>
      </c>
    </row>
    <row r="1006" spans="27:28" hidden="1">
      <c r="AA1006" s="139" t="s">
        <v>1330</v>
      </c>
      <c r="AB1006" s="139" t="s">
        <v>1331</v>
      </c>
    </row>
    <row r="1007" spans="27:28" hidden="1">
      <c r="AA1007" s="139" t="s">
        <v>1332</v>
      </c>
      <c r="AB1007" s="139" t="s">
        <v>1333</v>
      </c>
    </row>
    <row r="1008" spans="27:28" hidden="1">
      <c r="AA1008" s="139" t="s">
        <v>1334</v>
      </c>
      <c r="AB1008" s="139" t="s">
        <v>1335</v>
      </c>
    </row>
    <row r="1009" spans="27:28" hidden="1">
      <c r="AA1009" s="139" t="s">
        <v>1336</v>
      </c>
      <c r="AB1009" s="139" t="s">
        <v>1337</v>
      </c>
    </row>
    <row r="1010" spans="27:28" hidden="1">
      <c r="AA1010" s="139" t="s">
        <v>1338</v>
      </c>
      <c r="AB1010" s="139" t="s">
        <v>1339</v>
      </c>
    </row>
    <row r="1011" spans="27:28" hidden="1">
      <c r="AA1011" s="139" t="s">
        <v>1340</v>
      </c>
      <c r="AB1011" s="139" t="s">
        <v>1341</v>
      </c>
    </row>
    <row r="1012" spans="27:28" hidden="1">
      <c r="AA1012" s="139" t="s">
        <v>1342</v>
      </c>
      <c r="AB1012" s="139" t="s">
        <v>1343</v>
      </c>
    </row>
    <row r="1013" spans="27:28" hidden="1">
      <c r="AA1013" s="139" t="s">
        <v>1344</v>
      </c>
      <c r="AB1013" s="139" t="s">
        <v>1345</v>
      </c>
    </row>
    <row r="1014" spans="27:28" hidden="1">
      <c r="AA1014" s="139" t="s">
        <v>1346</v>
      </c>
      <c r="AB1014" s="139" t="s">
        <v>1347</v>
      </c>
    </row>
    <row r="1015" spans="27:28" hidden="1">
      <c r="AA1015" s="139" t="s">
        <v>1348</v>
      </c>
      <c r="AB1015" s="139" t="s">
        <v>1349</v>
      </c>
    </row>
    <row r="1016" spans="27:28"/>
    <row r="1017" spans="27:28"/>
    <row r="1018" spans="27:28"/>
    <row r="1019" spans="27:28"/>
    <row r="1020" spans="27:28"/>
    <row r="1021" spans="27:28"/>
  </sheetData>
  <sheetProtection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498">
      <formula1>$U$5:$U$126</formula1>
    </dataValidation>
    <dataValidation type="whole" allowBlank="1" showInputMessage="1" showErrorMessage="1" errorTitle="GREŠKA" error="U ovo polje je dozvoljen unos samo brojčanih vrijednosti (bez decimala!)" sqref="G3:I498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498">
      <formula1>$R$8:$R$23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498">
      <formula1>$AA$8:$AA$1015</formula1>
    </dataValidation>
  </dataValidations>
  <pageMargins left="0.70866141732283472" right="0.70866141732283472" top="0.74803149606299213" bottom="0.74803149606299213" header="0.31496062992125984" footer="0.31496062992125984"/>
  <pageSetup paperSize="9" scale="4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opLeftCell="B1" zoomScale="80" zoomScaleNormal="80" workbookViewId="0">
      <pane ySplit="2" topLeftCell="A8" activePane="bottomLeft" state="frozen"/>
      <selection pane="bottomLeft" activeCell="L5" sqref="L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4" t="s">
        <v>261</v>
      </c>
      <c r="C1" s="274"/>
      <c r="D1" s="274"/>
      <c r="E1" s="274"/>
      <c r="F1" s="274"/>
      <c r="G1" s="274"/>
      <c r="H1" s="274"/>
      <c r="I1" s="274"/>
      <c r="J1" s="274"/>
      <c r="K1" s="274"/>
      <c r="L1" s="274"/>
      <c r="M1" s="274"/>
      <c r="N1" s="274"/>
      <c r="O1" s="274"/>
      <c r="P1" s="274"/>
      <c r="Q1" s="274"/>
      <c r="R1" s="274"/>
      <c r="S1" s="274"/>
      <c r="T1" s="274"/>
      <c r="U1" s="274"/>
      <c r="V1" s="274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5" t="s">
        <v>263</v>
      </c>
      <c r="C3" s="276"/>
      <c r="D3" s="277" t="s">
        <v>757</v>
      </c>
      <c r="E3" s="278"/>
      <c r="F3" s="278"/>
      <c r="G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9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5655855</v>
      </c>
      <c r="E5" s="3"/>
      <c r="F5" s="3">
        <v>88000</v>
      </c>
      <c r="G5" s="3">
        <v>2100000</v>
      </c>
      <c r="H5" s="3"/>
      <c r="I5" s="3">
        <v>1550932</v>
      </c>
      <c r="J5" s="3">
        <v>735000</v>
      </c>
      <c r="K5" s="3">
        <v>931923</v>
      </c>
      <c r="L5" s="3"/>
      <c r="M5" s="3"/>
      <c r="N5" s="3">
        <v>250000</v>
      </c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39110513</v>
      </c>
      <c r="E6" s="14">
        <f>+E27+E34</f>
        <v>24919220</v>
      </c>
      <c r="F6" s="14">
        <f t="shared" ref="F6:V6" si="1">+F27+F34</f>
        <v>72431</v>
      </c>
      <c r="G6" s="14">
        <f t="shared" si="1"/>
        <v>3085500</v>
      </c>
      <c r="H6" s="14">
        <f>+H27+H34</f>
        <v>0</v>
      </c>
      <c r="I6" s="14">
        <f t="shared" ref="I6" si="2">+I27+I34</f>
        <v>6443000</v>
      </c>
      <c r="J6" s="14">
        <f t="shared" si="1"/>
        <v>3555000</v>
      </c>
      <c r="K6" s="14">
        <f t="shared" si="1"/>
        <v>500916</v>
      </c>
      <c r="L6" s="14">
        <f>+L27+L34</f>
        <v>0</v>
      </c>
      <c r="M6" s="14">
        <f t="shared" si="1"/>
        <v>0</v>
      </c>
      <c r="N6" s="14">
        <f t="shared" si="1"/>
        <v>410446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124000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-6918947</v>
      </c>
      <c r="E7" s="259"/>
      <c r="F7" s="259">
        <v>-155065</v>
      </c>
      <c r="G7" s="259">
        <v>-1220500</v>
      </c>
      <c r="H7" s="259"/>
      <c r="I7" s="259">
        <v>-4401587</v>
      </c>
      <c r="J7" s="259">
        <v>-554900</v>
      </c>
      <c r="K7" s="259">
        <v>-444147</v>
      </c>
      <c r="L7" s="259"/>
      <c r="M7" s="259"/>
      <c r="N7" s="259">
        <v>-96875</v>
      </c>
      <c r="O7" s="259"/>
      <c r="P7" s="259"/>
      <c r="Q7" s="259"/>
      <c r="R7" s="259"/>
      <c r="S7" s="259"/>
      <c r="T7" s="259">
        <v>-45873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37847421</v>
      </c>
      <c r="E8" s="14">
        <f>+E5+E6+E7</f>
        <v>24919220</v>
      </c>
      <c r="F8" s="14">
        <f t="shared" ref="F8:V8" si="3">+F5+F6+F7</f>
        <v>5366</v>
      </c>
      <c r="G8" s="14">
        <f t="shared" si="3"/>
        <v>3965000</v>
      </c>
      <c r="H8" s="14">
        <f>+H5+H6+H7</f>
        <v>0</v>
      </c>
      <c r="I8" s="14">
        <f t="shared" ref="I8" si="4">+I5+I6+I7</f>
        <v>3592345</v>
      </c>
      <c r="J8" s="14">
        <f t="shared" si="3"/>
        <v>3735100</v>
      </c>
      <c r="K8" s="14">
        <f t="shared" si="3"/>
        <v>988692</v>
      </c>
      <c r="L8" s="14">
        <f>+L5+L6+L7</f>
        <v>0</v>
      </c>
      <c r="M8" s="14">
        <f t="shared" si="3"/>
        <v>0</v>
      </c>
      <c r="N8" s="14">
        <f t="shared" si="3"/>
        <v>563571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78127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37847421</v>
      </c>
      <c r="E9" s="134">
        <f>+'PLAN RASHODA I IZDATAKA'!E3</f>
        <v>24919220</v>
      </c>
      <c r="F9" s="134">
        <f>+'PLAN RASHODA I IZDATAKA'!F3</f>
        <v>5366</v>
      </c>
      <c r="G9" s="134">
        <f>+'PLAN RASHODA I IZDATAKA'!G3</f>
        <v>3965000</v>
      </c>
      <c r="H9" s="134">
        <f>+'PLAN RASHODA I IZDATAKA'!H3</f>
        <v>0</v>
      </c>
      <c r="I9" s="134">
        <f>+'PLAN RASHODA I IZDATAKA'!I3</f>
        <v>3592345</v>
      </c>
      <c r="J9" s="134">
        <f>+'PLAN RASHODA I IZDATAKA'!J3</f>
        <v>3735100</v>
      </c>
      <c r="K9" s="134">
        <f>+'PLAN RASHODA I IZDATAKA'!K3</f>
        <v>988692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563571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78127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3965446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3555000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410446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5000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5000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495916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495916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85500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85500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6200000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6200000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3000000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3000000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124000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124000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24991651</v>
      </c>
      <c r="E24" s="186">
        <f>SUMIFS('Plan prihoda za unos u SAP'!$G$3:$G$501,'Plan prihoda za unos u SAP'!$C$3:$C$501,"=11",'Plan prihoda za unos u SAP'!$K$3:$K$501,"=671")</f>
        <v>24919220</v>
      </c>
      <c r="F24" s="186">
        <f>SUMIFS('Plan prihoda za unos u SAP'!$G$3:$G$501,'Plan prihoda za unos u SAP'!$C$3:$C$501,"=12",'Plan prihoda za unos u SAP'!$K$3:$K$501,"=671")</f>
        <v>72431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243000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243000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39110513</v>
      </c>
      <c r="E27" s="4">
        <f>SUM(E11:E26)</f>
        <v>24919220</v>
      </c>
      <c r="F27" s="4">
        <f t="shared" ref="F27:W27" si="7">SUM(F11:F26)</f>
        <v>72431</v>
      </c>
      <c r="G27" s="4">
        <f t="shared" si="7"/>
        <v>3085500</v>
      </c>
      <c r="H27" s="4">
        <f t="shared" si="7"/>
        <v>0</v>
      </c>
      <c r="I27" s="4">
        <f t="shared" si="7"/>
        <v>6443000</v>
      </c>
      <c r="J27" s="4">
        <f t="shared" si="7"/>
        <v>3555000</v>
      </c>
      <c r="K27" s="4">
        <f t="shared" si="7"/>
        <v>500916</v>
      </c>
      <c r="L27" s="4">
        <f t="shared" si="7"/>
        <v>0</v>
      </c>
      <c r="M27" s="4">
        <f t="shared" si="7"/>
        <v>0</v>
      </c>
      <c r="N27" s="4">
        <f t="shared" si="7"/>
        <v>410446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124000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39110513</v>
      </c>
      <c r="E41" s="71">
        <f>+E40+E34+E27</f>
        <v>24919220</v>
      </c>
      <c r="F41" s="71">
        <f>+F40+F34+F27</f>
        <v>72431</v>
      </c>
      <c r="G41" s="71">
        <f t="shared" ref="G41:W41" si="11">+G40+G34+G27</f>
        <v>3085500</v>
      </c>
      <c r="H41" s="71">
        <f t="shared" si="11"/>
        <v>0</v>
      </c>
      <c r="I41" s="71">
        <f t="shared" si="11"/>
        <v>6443000</v>
      </c>
      <c r="J41" s="71">
        <f t="shared" si="11"/>
        <v>3555000</v>
      </c>
      <c r="K41" s="71">
        <f t="shared" si="11"/>
        <v>500916</v>
      </c>
      <c r="L41" s="71">
        <f t="shared" si="11"/>
        <v>0</v>
      </c>
      <c r="M41" s="71">
        <f t="shared" si="11"/>
        <v>0</v>
      </c>
      <c r="N41" s="71">
        <f t="shared" si="11"/>
        <v>410446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124000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5" t="s">
        <v>263</v>
      </c>
      <c r="C43" s="276"/>
      <c r="D43" s="277" t="s">
        <v>1915</v>
      </c>
      <c r="E43" s="278"/>
      <c r="F43" s="278"/>
      <c r="G43" s="278"/>
      <c r="H43" s="278"/>
      <c r="I43" s="278"/>
      <c r="J43" s="278"/>
      <c r="K43" s="278"/>
      <c r="L43" s="278"/>
      <c r="M43" s="278"/>
      <c r="N43" s="278"/>
      <c r="O43" s="278"/>
      <c r="P43" s="278"/>
      <c r="Q43" s="278"/>
      <c r="R43" s="278"/>
      <c r="S43" s="278"/>
      <c r="T43" s="278"/>
      <c r="U43" s="279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6918947</v>
      </c>
      <c r="E45" s="185">
        <f>-E7</f>
        <v>0</v>
      </c>
      <c r="F45" s="185">
        <f>-F7</f>
        <v>155065</v>
      </c>
      <c r="G45" s="185">
        <f t="shared" ref="G45:W45" si="13">-G7</f>
        <v>1220500</v>
      </c>
      <c r="H45" s="185">
        <f t="shared" si="13"/>
        <v>0</v>
      </c>
      <c r="I45" s="185">
        <f t="shared" si="13"/>
        <v>4401587</v>
      </c>
      <c r="J45" s="185">
        <f t="shared" si="13"/>
        <v>554900</v>
      </c>
      <c r="K45" s="185">
        <f t="shared" si="13"/>
        <v>444147</v>
      </c>
      <c r="L45" s="185">
        <f t="shared" si="13"/>
        <v>0</v>
      </c>
      <c r="M45" s="185">
        <f t="shared" si="13"/>
        <v>0</v>
      </c>
      <c r="N45" s="185">
        <f t="shared" si="13"/>
        <v>96875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45873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38156202</v>
      </c>
      <c r="E46" s="14">
        <f t="shared" ref="E46:W46" si="14">+E67+E74</f>
        <v>24984137</v>
      </c>
      <c r="F46" s="14">
        <f t="shared" si="14"/>
        <v>30838</v>
      </c>
      <c r="G46" s="14">
        <f t="shared" si="14"/>
        <v>3188800</v>
      </c>
      <c r="H46" s="14">
        <f>+H67+H74</f>
        <v>0</v>
      </c>
      <c r="I46" s="14">
        <f t="shared" si="14"/>
        <v>6495000</v>
      </c>
      <c r="J46" s="14">
        <f t="shared" si="14"/>
        <v>2670000</v>
      </c>
      <c r="K46" s="14">
        <f t="shared" si="14"/>
        <v>488680</v>
      </c>
      <c r="L46" s="14">
        <f>+L67+L74</f>
        <v>0</v>
      </c>
      <c r="M46" s="14">
        <f t="shared" si="14"/>
        <v>0</v>
      </c>
      <c r="N46" s="14">
        <f t="shared" si="14"/>
        <v>174747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124000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-8458883</v>
      </c>
      <c r="E47" s="113"/>
      <c r="F47" s="113">
        <v>-185903</v>
      </c>
      <c r="G47" s="113">
        <v>-411300</v>
      </c>
      <c r="H47" s="113"/>
      <c r="I47" s="113">
        <v>-6758837</v>
      </c>
      <c r="J47" s="113">
        <v>-610980</v>
      </c>
      <c r="K47" s="113">
        <v>-189547</v>
      </c>
      <c r="L47" s="113"/>
      <c r="M47" s="3"/>
      <c r="N47" s="113">
        <v>-260869</v>
      </c>
      <c r="O47" s="113"/>
      <c r="P47" s="113"/>
      <c r="Q47" s="113"/>
      <c r="R47" s="113"/>
      <c r="S47" s="113"/>
      <c r="T47" s="113">
        <v>-41447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36616266</v>
      </c>
      <c r="E48" s="14">
        <f>+E45+E46+E47</f>
        <v>24984137</v>
      </c>
      <c r="F48" s="14">
        <f t="shared" ref="F48:W48" si="15">+F45+F46+F47</f>
        <v>0</v>
      </c>
      <c r="G48" s="14">
        <f t="shared" si="15"/>
        <v>3998000</v>
      </c>
      <c r="H48" s="14">
        <f>+H45+H46+H47</f>
        <v>0</v>
      </c>
      <c r="I48" s="14">
        <f t="shared" si="15"/>
        <v>4137750</v>
      </c>
      <c r="J48" s="14">
        <f t="shared" si="15"/>
        <v>2613920</v>
      </c>
      <c r="K48" s="14">
        <f t="shared" si="15"/>
        <v>743280</v>
      </c>
      <c r="L48" s="14">
        <f>+L45+L46+L47</f>
        <v>0</v>
      </c>
      <c r="M48" s="14">
        <f t="shared" si="15"/>
        <v>0</v>
      </c>
      <c r="N48" s="14">
        <f t="shared" si="15"/>
        <v>10753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128426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36616266</v>
      </c>
      <c r="E49" s="134">
        <f>+'PLAN RASHODA I IZDATAKA'!E71</f>
        <v>24984137</v>
      </c>
      <c r="F49" s="134">
        <f>+'PLAN RASHODA I IZDATAKA'!F71</f>
        <v>0</v>
      </c>
      <c r="G49" s="134">
        <f>+'PLAN RASHODA I IZDATAKA'!G71</f>
        <v>3998000</v>
      </c>
      <c r="H49" s="134">
        <f>+'PLAN RASHODA I IZDATAKA'!H71</f>
        <v>0</v>
      </c>
      <c r="I49" s="134">
        <f>+'PLAN RASHODA I IZDATAKA'!I71</f>
        <v>4137750</v>
      </c>
      <c r="J49" s="134">
        <f>+'PLAN RASHODA I IZDATAKA'!J71</f>
        <v>2613920</v>
      </c>
      <c r="K49" s="134">
        <f>+'PLAN RASHODA I IZDATAKA'!K71</f>
        <v>743280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10753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128426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2844747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2670000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174747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10000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10000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478680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478680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88800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88800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6250000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6250000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3100000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3100000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124000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124000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25014975</v>
      </c>
      <c r="E64" s="186">
        <f>SUMIFS('Plan prihoda za unos u SAP'!$H$3:$H$501,'Plan prihoda za unos u SAP'!$C$3:$C$501,"=11",'Plan prihoda za unos u SAP'!$K$3:$K$501,"=671")</f>
        <v>24984137</v>
      </c>
      <c r="F64" s="186">
        <f>SUMIFS('Plan prihoda za unos u SAP'!$H$3:$H$501,'Plan prihoda za unos u SAP'!$C$3:$C$501,"=12",'Plan prihoda za unos u SAP'!$K$3:$K$501,"=671")</f>
        <v>30838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245000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245000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38156202</v>
      </c>
      <c r="E67" s="4">
        <f>SUM(E51:E66)</f>
        <v>24984137</v>
      </c>
      <c r="F67" s="4">
        <f t="shared" ref="F67:W67" si="17">SUM(F51:F66)</f>
        <v>30838</v>
      </c>
      <c r="G67" s="4">
        <f t="shared" si="17"/>
        <v>3188800</v>
      </c>
      <c r="H67" s="4">
        <f t="shared" si="17"/>
        <v>0</v>
      </c>
      <c r="I67" s="4">
        <f t="shared" si="17"/>
        <v>6495000</v>
      </c>
      <c r="J67" s="4">
        <f>SUM(J51:J66)</f>
        <v>2670000</v>
      </c>
      <c r="K67" s="4">
        <f t="shared" si="17"/>
        <v>488680</v>
      </c>
      <c r="L67" s="4">
        <f t="shared" si="17"/>
        <v>0</v>
      </c>
      <c r="M67" s="4">
        <f t="shared" si="17"/>
        <v>0</v>
      </c>
      <c r="N67" s="4">
        <f t="shared" si="17"/>
        <v>174747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124000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38156202</v>
      </c>
      <c r="E81" s="71">
        <f>+E80+E74+E67</f>
        <v>24984137</v>
      </c>
      <c r="F81" s="71">
        <f>+F80+F74+F67</f>
        <v>30838</v>
      </c>
      <c r="G81" s="71">
        <f t="shared" ref="G81:W81" si="21">+G80+G74+G67</f>
        <v>3188800</v>
      </c>
      <c r="H81" s="71">
        <f t="shared" si="21"/>
        <v>0</v>
      </c>
      <c r="I81" s="71">
        <f t="shared" si="21"/>
        <v>6495000</v>
      </c>
      <c r="J81" s="71">
        <f t="shared" si="21"/>
        <v>2670000</v>
      </c>
      <c r="K81" s="71">
        <f t="shared" si="21"/>
        <v>488680</v>
      </c>
      <c r="L81" s="71">
        <f t="shared" si="21"/>
        <v>0</v>
      </c>
      <c r="M81" s="71">
        <f t="shared" si="21"/>
        <v>0</v>
      </c>
      <c r="N81" s="71">
        <f t="shared" si="21"/>
        <v>174747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124000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5" t="s">
        <v>263</v>
      </c>
      <c r="C83" s="276"/>
      <c r="D83" s="277" t="s">
        <v>1989</v>
      </c>
      <c r="E83" s="278"/>
      <c r="F83" s="278"/>
      <c r="G83" s="278"/>
      <c r="H83" s="278"/>
      <c r="I83" s="278"/>
      <c r="J83" s="278"/>
      <c r="K83" s="278"/>
      <c r="L83" s="278"/>
      <c r="M83" s="278"/>
      <c r="N83" s="278"/>
      <c r="O83" s="278"/>
      <c r="P83" s="278"/>
      <c r="Q83" s="278"/>
      <c r="R83" s="278"/>
      <c r="S83" s="278"/>
      <c r="T83" s="278"/>
      <c r="U83" s="279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8458883</v>
      </c>
      <c r="E85" s="185">
        <f>-E47</f>
        <v>0</v>
      </c>
      <c r="F85" s="185">
        <f>-F47</f>
        <v>185903</v>
      </c>
      <c r="G85" s="185">
        <f t="shared" ref="G85:W85" si="23">-G47</f>
        <v>411300</v>
      </c>
      <c r="H85" s="185">
        <f t="shared" si="23"/>
        <v>0</v>
      </c>
      <c r="I85" s="185">
        <f t="shared" si="23"/>
        <v>6758837</v>
      </c>
      <c r="J85" s="185">
        <f t="shared" si="23"/>
        <v>610980</v>
      </c>
      <c r="K85" s="185">
        <f t="shared" si="23"/>
        <v>189547</v>
      </c>
      <c r="L85" s="185">
        <f t="shared" si="23"/>
        <v>0</v>
      </c>
      <c r="M85" s="185">
        <f t="shared" si="23"/>
        <v>0</v>
      </c>
      <c r="N85" s="185">
        <f t="shared" si="23"/>
        <v>260869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41447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37833292</v>
      </c>
      <c r="E86" s="14">
        <f t="shared" ref="E86:W86" si="24">+E107+E114</f>
        <v>25084017</v>
      </c>
      <c r="F86" s="14">
        <f t="shared" si="24"/>
        <v>0</v>
      </c>
      <c r="G86" s="14">
        <f t="shared" si="24"/>
        <v>3250000</v>
      </c>
      <c r="H86" s="14">
        <f>+H107+H114</f>
        <v>0</v>
      </c>
      <c r="I86" s="14">
        <f t="shared" si="24"/>
        <v>6550000</v>
      </c>
      <c r="J86" s="14">
        <f t="shared" si="24"/>
        <v>2300000</v>
      </c>
      <c r="K86" s="14">
        <f t="shared" si="24"/>
        <v>609275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40000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-10555483</v>
      </c>
      <c r="E87" s="113"/>
      <c r="F87" s="113">
        <v>-185903</v>
      </c>
      <c r="G87" s="113"/>
      <c r="H87" s="113"/>
      <c r="I87" s="113">
        <v>-9110937</v>
      </c>
      <c r="J87" s="113">
        <v>-910980</v>
      </c>
      <c r="K87" s="113">
        <v>-45347</v>
      </c>
      <c r="L87" s="113"/>
      <c r="M87" s="3"/>
      <c r="N87" s="113">
        <v>-260869</v>
      </c>
      <c r="O87" s="113"/>
      <c r="P87" s="113"/>
      <c r="Q87" s="113"/>
      <c r="R87" s="113"/>
      <c r="S87" s="113"/>
      <c r="T87" s="113">
        <v>-41447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35736692</v>
      </c>
      <c r="E88" s="14">
        <f>+E85+E86+E87</f>
        <v>25084017</v>
      </c>
      <c r="F88" s="14">
        <f t="shared" ref="F88:W88" si="25">+F85+F86+F87</f>
        <v>0</v>
      </c>
      <c r="G88" s="14">
        <f t="shared" si="25"/>
        <v>3661300</v>
      </c>
      <c r="H88" s="14">
        <f>+H85+H86+H87</f>
        <v>0</v>
      </c>
      <c r="I88" s="14">
        <f t="shared" si="25"/>
        <v>4197900</v>
      </c>
      <c r="J88" s="14">
        <f t="shared" si="25"/>
        <v>2000000</v>
      </c>
      <c r="K88" s="14">
        <f t="shared" si="25"/>
        <v>753475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40000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35736692</v>
      </c>
      <c r="E89" s="134">
        <f>+'PLAN RASHODA I IZDATAKA'!E91</f>
        <v>25084017</v>
      </c>
      <c r="F89" s="134">
        <f>+'PLAN RASHODA I IZDATAKA'!F91</f>
        <v>0</v>
      </c>
      <c r="G89" s="134">
        <f>+'PLAN RASHODA I IZDATAKA'!G91</f>
        <v>3661300</v>
      </c>
      <c r="H89" s="134">
        <f>+'PLAN RASHODA I IZDATAKA'!H91</f>
        <v>0</v>
      </c>
      <c r="I89" s="134">
        <f>+'PLAN RASHODA I IZDATAKA'!I91</f>
        <v>4197900</v>
      </c>
      <c r="J89" s="134">
        <f>+'PLAN RASHODA I IZDATAKA'!J91</f>
        <v>2000000</v>
      </c>
      <c r="K89" s="134">
        <f>+'PLAN RASHODA I IZDATAKA'!K91</f>
        <v>753475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40000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2300000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2300000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15000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15000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594275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594275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100000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100000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6300000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6300000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3150000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3150000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40000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40000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25084017</v>
      </c>
      <c r="E104" s="186">
        <f>SUMIFS('Plan prihoda za unos u SAP'!$I$3:$I$501,'Plan prihoda za unos u SAP'!$C$3:$C$501,"=11",'Plan prihoda za unos u SAP'!$K$3:$K$501,"=671")</f>
        <v>25084017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250000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250000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37833292</v>
      </c>
      <c r="E107" s="4">
        <f>SUM(E91:E106)</f>
        <v>25084017</v>
      </c>
      <c r="F107" s="4">
        <f t="shared" ref="F107:W107" si="27">SUM(F91:F106)</f>
        <v>0</v>
      </c>
      <c r="G107" s="4">
        <f t="shared" si="27"/>
        <v>3250000</v>
      </c>
      <c r="H107" s="4">
        <f t="shared" si="27"/>
        <v>0</v>
      </c>
      <c r="I107" s="4">
        <f t="shared" si="27"/>
        <v>6550000</v>
      </c>
      <c r="J107" s="4">
        <f t="shared" si="27"/>
        <v>2300000</v>
      </c>
      <c r="K107" s="4">
        <f t="shared" si="27"/>
        <v>609275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40000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37833292</v>
      </c>
      <c r="E121" s="71">
        <f>+E120+E114+E107</f>
        <v>25084017</v>
      </c>
      <c r="F121" s="71">
        <f>+F120+F114+F107</f>
        <v>0</v>
      </c>
      <c r="G121" s="71">
        <f t="shared" ref="G121:W121" si="31">+G120+G114+G107</f>
        <v>3250000</v>
      </c>
      <c r="H121" s="71">
        <f t="shared" si="31"/>
        <v>0</v>
      </c>
      <c r="I121" s="71">
        <f t="shared" si="31"/>
        <v>6550000</v>
      </c>
      <c r="J121" s="71">
        <f t="shared" si="31"/>
        <v>2300000</v>
      </c>
      <c r="K121" s="71">
        <f t="shared" si="31"/>
        <v>609275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40000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57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80" t="s">
        <v>3492</v>
      </c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37847421</v>
      </c>
      <c r="E3" s="121">
        <f t="shared" ref="E3:W3" si="1">E4+E38+E58</f>
        <v>24919220</v>
      </c>
      <c r="F3" s="121">
        <f t="shared" si="1"/>
        <v>5366</v>
      </c>
      <c r="G3" s="121">
        <f t="shared" si="1"/>
        <v>3965000</v>
      </c>
      <c r="H3" s="121">
        <f>H4+H38+H58</f>
        <v>0</v>
      </c>
      <c r="I3" s="121">
        <f t="shared" si="1"/>
        <v>3592345</v>
      </c>
      <c r="J3" s="121">
        <f t="shared" si="1"/>
        <v>3735100</v>
      </c>
      <c r="K3" s="121">
        <f t="shared" si="1"/>
        <v>988692</v>
      </c>
      <c r="L3" s="121">
        <f>L4+L38+L58</f>
        <v>0</v>
      </c>
      <c r="M3" s="121">
        <f t="shared" si="1"/>
        <v>0</v>
      </c>
      <c r="N3" s="121">
        <f t="shared" si="1"/>
        <v>563571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78127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37546847</v>
      </c>
      <c r="E4" s="125">
        <f>E5+E9+E15+E19+E23+E30+E33</f>
        <v>24724220</v>
      </c>
      <c r="F4" s="125">
        <f t="shared" ref="F4:W4" si="2">F5+F9+F15+F19+F23+F30+F33</f>
        <v>5366</v>
      </c>
      <c r="G4" s="125">
        <f t="shared" si="2"/>
        <v>3924500</v>
      </c>
      <c r="H4" s="125">
        <f>H5+H9+H15+H19+H23+H30+H33</f>
        <v>0</v>
      </c>
      <c r="I4" s="125">
        <f t="shared" si="2"/>
        <v>3542271</v>
      </c>
      <c r="J4" s="125">
        <f t="shared" si="2"/>
        <v>3735100</v>
      </c>
      <c r="K4" s="125">
        <f t="shared" si="2"/>
        <v>973692</v>
      </c>
      <c r="L4" s="125">
        <f>L5+L9+L15+L19+L23+L30+L33</f>
        <v>0</v>
      </c>
      <c r="M4" s="125">
        <f t="shared" si="2"/>
        <v>0</v>
      </c>
      <c r="N4" s="125">
        <f t="shared" si="2"/>
        <v>563571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78127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31108379</v>
      </c>
      <c r="E5" s="12">
        <f>SUM(E6:E8)</f>
        <v>21370421</v>
      </c>
      <c r="F5" s="12">
        <f t="shared" ref="F5:W5" si="3">SUM(F6:F8)</f>
        <v>0</v>
      </c>
      <c r="G5" s="12">
        <f t="shared" si="3"/>
        <v>3290000</v>
      </c>
      <c r="H5" s="12">
        <f>SUM(H6:H8)</f>
        <v>0</v>
      </c>
      <c r="I5" s="12">
        <f t="shared" si="3"/>
        <v>2548960</v>
      </c>
      <c r="J5" s="12">
        <f t="shared" si="3"/>
        <v>3052000</v>
      </c>
      <c r="K5" s="12">
        <f t="shared" si="3"/>
        <v>634004</v>
      </c>
      <c r="L5" s="12">
        <f>SUM(L6:L8)</f>
        <v>0</v>
      </c>
      <c r="M5" s="12">
        <f t="shared" si="3"/>
        <v>0</v>
      </c>
      <c r="N5" s="12">
        <f t="shared" si="3"/>
        <v>212994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25834269</v>
      </c>
      <c r="E6" s="138">
        <f>SUMIFS('Plan rashoda za unos u SAP'!$I$3:$I$501,'Plan rashoda za unos u SAP'!$C$3:$C$501,"=11",'Plan rashoda za unos u SAP'!$M$3:$M$501,"=311")+SUMIFS('ANALITIKA EU PROJEKATA'!$G$3:$G$498,'ANALITIKA EU PROJEKATA'!$A$3:$A$498,"=11",'ANALITIKA EU PROJEKATA'!$P$3:$P$498,"=311")</f>
        <v>17976830</v>
      </c>
      <c r="F6" s="138">
        <f>SUMIFS('Plan rashoda za unos u SAP'!$I$3:$I$501,'Plan rashoda za unos u SAP'!$C$3:$C$501,"=12",'Plan rashoda za unos u SAP'!$M$3:$M$501,"=311")+SUMIFS('ANALITIKA EU PROJEKATA'!$G$3:$G$498,'ANALITIKA EU PROJEKATA'!$A$3:$A$498,"=12",'ANALITIKA EU PROJEKATA'!$P$3:$P$498,"=311")</f>
        <v>0</v>
      </c>
      <c r="G6" s="138">
        <f>SUMIFS('Plan rashoda za unos u SAP'!$I$3:$I$501,'Plan rashoda za unos u SAP'!$C$3:$C$501,"=31",'Plan rashoda za unos u SAP'!$M$3:$M$501,"=311")+SUMIFS('ANALITIKA EU PROJEKATA'!$G$3:$G$498,'ANALITIKA EU PROJEKATA'!$A$3:$A$498,"=31",'ANALITIKA EU PROJEKATA'!$P$3:$P$498,"=311")</f>
        <v>2000000</v>
      </c>
      <c r="H6" s="138">
        <f>SUMIFS('Plan rashoda za unos u SAP'!$I$3:$I$501,'Plan rashoda za unos u SAP'!$C$3:$C$501,"=41",'Plan rashoda za unos u SAP'!$M$3:$M$501,"=311")+SUMIFS('ANALITIKA EU PROJEKATA'!$G$3:$G$498,'ANALITIKA EU PROJEKATA'!$A$3:$A$498,"=41",'ANALITIKA EU PROJEKATA'!$P$3:$P$498,"=311")</f>
        <v>0</v>
      </c>
      <c r="I6" s="138">
        <f>SUMIFS('Plan rashoda za unos u SAP'!$I$3:$I$501,'Plan rashoda za unos u SAP'!$C$3:$C$501,"=43",'Plan rashoda za unos u SAP'!$M$3:$M$501,"=311")+SUMIFS('ANALITIKA EU PROJEKATA'!$G$3:$G$498,'ANALITIKA EU PROJEKATA'!$A$3:$A$498,"=43",'ANALITIKA EU PROJEKATA'!$P$3:$P$498,"=311")</f>
        <v>2187957</v>
      </c>
      <c r="J6" s="138">
        <f>SUMIFS('Plan rashoda za unos u SAP'!$I$3:$I$501,'Plan rashoda za unos u SAP'!$C$3:$C$501,"=51",'Plan rashoda za unos u SAP'!$M$3:$M$501,"=311")+SUMIFS('ANALITIKA EU PROJEKATA'!$G$3:$G$498,'ANALITIKA EU PROJEKATA'!$A$3:$A$498,"=51",'ANALITIKA EU PROJEKATA'!$P$3:$P$498,"=311")</f>
        <v>2973695</v>
      </c>
      <c r="K6" s="138">
        <f>SUMIFS('Plan rashoda za unos u SAP'!$I$3:$I$501,'Plan rashoda za unos u SAP'!$C$3:$C$501,"=52",'Plan rashoda za unos u SAP'!$M$3:$M$501,"=311")+SUMIFS('ANALITIKA EU PROJEKATA'!$G$3:$G$498,'ANALITIKA EU PROJEKATA'!$A$3:$A$498,"=52",'ANALITIKA EU PROJEKATA'!$P$3:$P$498,"=311")</f>
        <v>512960</v>
      </c>
      <c r="L6" s="138">
        <f>SUMIFS('Plan rashoda za unos u SAP'!$I$3:$I$501,'Plan rashoda za unos u SAP'!$C$3:$C$501,"=552",'Plan rashoda za unos u SAP'!$M$3:$M$501,"=311")+SUMIFS('ANALITIKA EU PROJEKATA'!$G$3:$G$498,'ANALITIKA EU PROJEKATA'!$A$3:$A$498,"=552",'ANALITIKA EU PROJEKATA'!$P$3:$P$498,"=311")</f>
        <v>0</v>
      </c>
      <c r="M6" s="138">
        <f>SUMIFS('Plan rashoda za unos u SAP'!$I$3:$I$501,'Plan rashoda za unos u SAP'!$C$3:$C$501,"=559",'Plan rashoda za unos u SAP'!$M$3:$M$501,"=311")+SUMIFS('ANALITIKA EU PROJEKATA'!$G$3:$G$498,'ANALITIKA EU PROJEKATA'!$A$3:$A$498,"=559",'ANALITIKA EU PROJEKATA'!$P$3:$P$498,"=311")</f>
        <v>0</v>
      </c>
      <c r="N6" s="138">
        <f>SUMIFS('Plan rashoda za unos u SAP'!$I$3:$I$501,'Plan rashoda za unos u SAP'!$C$3:$C$501,"=561",'Plan rashoda za unos u SAP'!$M$3:$M$501,"=311")+SUMIFS('ANALITIKA EU PROJEKATA'!$G$3:$G$498,'ANALITIKA EU PROJEKATA'!$A$3:$A$498,"=561",'ANALITIKA EU PROJEKATA'!$P$3:$P$498,"=311")</f>
        <v>182827</v>
      </c>
      <c r="O6" s="138">
        <f>SUMIFS('Plan rashoda za unos u SAP'!$I$3:$I$501,'Plan rashoda za unos u SAP'!$C$3:$C$501,"=563",'Plan rashoda za unos u SAP'!$M$3:$M$501,"=311")+SUMIFS('ANALITIKA EU PROJEKATA'!$G$3:$G$498,'ANALITIKA EU PROJEKATA'!$A$3:$A$498,"=563",'ANALITIKA EU PROJEKATA'!$P$3:$P$498,"=311")</f>
        <v>0</v>
      </c>
      <c r="P6" s="138">
        <f>SUMIFS('Plan rashoda za unos u SAP'!$I$3:$I$501,'Plan rashoda za unos u SAP'!$C$3:$C$501,"=573",'Plan rashoda za unos u SAP'!$M$3:$M$501,"=311")+SUMIFS('ANALITIKA EU PROJEKATA'!$G$3:$G$498,'ANALITIKA EU PROJEKATA'!$A$3:$A$498,"=573",'ANALITIKA EU PROJEKATA'!$P$3:$P$498,"=311")</f>
        <v>0</v>
      </c>
      <c r="Q6" s="138">
        <f>SUMIFS('Plan rashoda za unos u SAP'!$I$3:$I$501,'Plan rashoda za unos u SAP'!$C$3:$C$501,"=575",'Plan rashoda za unos u SAP'!$M$3:$M$501,"=311")+SUMIFS('ANALITIKA EU PROJEKATA'!$G$3:$G$498,'ANALITIKA EU PROJEKATA'!$A$3:$A$498,"=575",'ANALITIKA EU PROJEKATA'!$P$3:$P$498,"=311")</f>
        <v>0</v>
      </c>
      <c r="R6" s="138">
        <f>SUMIFS('Plan rashoda za unos u SAP'!$I$3:$I$501,'Plan rashoda za unos u SAP'!$C$3:$C$501,"=576",'Plan rashoda za unos u SAP'!$M$3:$M$501,"=311")+SUMIFS('ANALITIKA EU PROJEKATA'!$G$3:$G$498,'ANALITIKA EU PROJEKATA'!$A$3:$A$498,"=576",'ANALITIKA EU PROJEKATA'!$P$3:$P$498,"=311")</f>
        <v>0</v>
      </c>
      <c r="S6" s="138">
        <f>SUMIFS('Plan rashoda za unos u SAP'!$I$3:$I$501,'Plan rashoda za unos u SAP'!$C$3:$C$501,"=581",'Plan rashoda za unos u SAP'!$M$3:$M$501,"=311")+SUMIFS('ANALITIKA EU PROJEKATA'!$G$3:$G$498,'ANALITIKA EU PROJEKATA'!$A$3:$A$498,"=581",'ANALITIKA EU PROJEKATA'!$P$3:$P$498,"=311")</f>
        <v>0</v>
      </c>
      <c r="T6" s="138">
        <f>SUMIFS('Plan rashoda za unos u SAP'!$I$3:$I$501,'Plan rashoda za unos u SAP'!$C$3:$C$501,"=61",'Plan rashoda za unos u SAP'!$M$3:$M$501,"=311")+SUMIFS('ANALITIKA EU PROJEKATA'!$G$3:$G$498,'ANALITIKA EU PROJEKATA'!$A$3:$A$498,"=61",'ANALITIKA EU PROJEKATA'!$P$3:$P$498,"=311")</f>
        <v>0</v>
      </c>
      <c r="U6" s="138">
        <f>SUMIFS('Plan rashoda za unos u SAP'!$I$3:$I$501,'Plan rashoda za unos u SAP'!$C$3:$C$501,"=63",'Plan rashoda za unos u SAP'!$M$3:$M$501,"=311")+SUMIFS('ANALITIKA EU PROJEKATA'!$G$3:$G$498,'ANALITIKA EU PROJEKATA'!$A$3:$A$498,"=63",'ANALITIKA EU PROJEKATA'!$P$3:$P$498,"=311")</f>
        <v>0</v>
      </c>
      <c r="V6" s="138">
        <f>SUMIFS('Plan rashoda za unos u SAP'!$I$3:$I$501,'Plan rashoda za unos u SAP'!$C$3:$C$501,"=71",'Plan rashoda za unos u SAP'!$M$3:$M$501,"=311")+SUMIFS('ANALITIKA EU PROJEKATA'!$G$3:$G$498,'ANALITIKA EU PROJEKATA'!$A$3:$A$498,"=71",'ANALITIKA EU PROJEKATA'!$P$3:$P$498,"=311")</f>
        <v>0</v>
      </c>
      <c r="W6" s="138">
        <f>SUMIFS('Plan rashoda za unos u SAP'!$I$3:$I$501,'Plan rashoda za unos u SAP'!$C$3:$C$501,"=81",'Plan rashoda za unos u SAP'!$M$3:$M$501,"=311")+SUMIFS('ANALITIKA EU PROJEKATA'!$G$3:$G$498,'ANALITIKA EU PROJEKATA'!$A$3:$A$498,"=81",'ANALITIKA EU PROJEKATA'!$P$3:$P$498,"=311")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1404580</v>
      </c>
      <c r="E7" s="138">
        <f>SUMIFS('Plan rashoda za unos u SAP'!$I$3:$I$501,'Plan rashoda za unos u SAP'!$C$3:$C$501,"=11",'Plan rashoda za unos u SAP'!$M$3:$M$501,"=312")+SUMIFS('ANALITIKA EU PROJEKATA'!$G$3:$G$498,'ANALITIKA EU PROJEKATA'!$A$3:$A$498,"=11",'ANALITIKA EU PROJEKATA'!$P$3:$P$498,"=312")</f>
        <v>444580</v>
      </c>
      <c r="F7" s="138">
        <f>SUMIFS('Plan rashoda za unos u SAP'!$I$3:$I$501,'Plan rashoda za unos u SAP'!$C$3:$C$501,"=12",'Plan rashoda za unos u SAP'!$M$3:$M$501,"=312")+SUMIFS('ANALITIKA EU PROJEKATA'!$G$3:$G$498,'ANALITIKA EU PROJEKATA'!$A$3:$A$498,"=12",'ANALITIKA EU PROJEKATA'!$P$3:$P$498,"=312")</f>
        <v>0</v>
      </c>
      <c r="G7" s="138">
        <f>SUMIFS('Plan rashoda za unos u SAP'!$I$3:$I$501,'Plan rashoda za unos u SAP'!$C$3:$C$501,"=31",'Plan rashoda za unos u SAP'!$M$3:$M$501,"=312")+SUMIFS('ANALITIKA EU PROJEKATA'!$G$3:$G$498,'ANALITIKA EU PROJEKATA'!$A$3:$A$498,"=31",'ANALITIKA EU PROJEKATA'!$P$3:$P$498,"=312")</f>
        <v>960000</v>
      </c>
      <c r="H7" s="138">
        <f>SUMIFS('Plan rashoda za unos u SAP'!$I$3:$I$501,'Plan rashoda za unos u SAP'!$C$3:$C$501,"=41",'Plan rashoda za unos u SAP'!$M$3:$M$501,"=312")+SUMIFS('ANALITIKA EU PROJEKATA'!$G$3:$G$498,'ANALITIKA EU PROJEKATA'!$A$3:$A$498,"=41",'ANALITIKA EU PROJEKATA'!$P$3:$P$498,"=312")</f>
        <v>0</v>
      </c>
      <c r="I7" s="138">
        <f>SUMIFS('Plan rashoda za unos u SAP'!$I$3:$I$501,'Plan rashoda za unos u SAP'!$C$3:$C$501,"=43",'Plan rashoda za unos u SAP'!$M$3:$M$501,"=312")+SUMIFS('ANALITIKA EU PROJEKATA'!$G$3:$G$498,'ANALITIKA EU PROJEKATA'!$A$3:$A$498,"=43",'ANALITIKA EU PROJEKATA'!$P$3:$P$498,"=312")</f>
        <v>0</v>
      </c>
      <c r="J7" s="138">
        <f>SUMIFS('Plan rashoda za unos u SAP'!$I$3:$I$501,'Plan rashoda za unos u SAP'!$C$3:$C$501,"=51",'Plan rashoda za unos u SAP'!$M$3:$M$501,"=312")+SUMIFS('ANALITIKA EU PROJEKATA'!$G$3:$G$498,'ANALITIKA EU PROJEKATA'!$A$3:$A$498,"=51",'ANALITIKA EU PROJEKATA'!$P$3:$P$498,"=312")</f>
        <v>0</v>
      </c>
      <c r="K7" s="138">
        <f>SUMIFS('Plan rashoda za unos u SAP'!$I$3:$I$501,'Plan rashoda za unos u SAP'!$C$3:$C$501,"=52",'Plan rashoda za unos u SAP'!$M$3:$M$501,"=312")+SUMIFS('ANALITIKA EU PROJEKATA'!$G$3:$G$498,'ANALITIKA EU PROJEKATA'!$A$3:$A$498,"=52",'ANALITIKA EU PROJEKATA'!$P$3:$P$498,"=312")</f>
        <v>0</v>
      </c>
      <c r="L7" s="138">
        <f>SUMIFS('Plan rashoda za unos u SAP'!$I$3:$I$501,'Plan rashoda za unos u SAP'!$C$3:$C$501,"=552",'Plan rashoda za unos u SAP'!$M$3:$M$501,"=312")+SUMIFS('ANALITIKA EU PROJEKATA'!$G$3:$G$498,'ANALITIKA EU PROJEKATA'!$A$3:$A$498,"=552",'ANALITIKA EU PROJEKATA'!$P$3:$P$498,"=312")</f>
        <v>0</v>
      </c>
      <c r="M7" s="138">
        <f>SUMIFS('Plan rashoda za unos u SAP'!$I$3:$I$501,'Plan rashoda za unos u SAP'!$C$3:$C$501,"=559",'Plan rashoda za unos u SAP'!$M$3:$M$501,"=312")+SUMIFS('ANALITIKA EU PROJEKATA'!$G$3:$G$498,'ANALITIKA EU PROJEKATA'!$A$3:$A$498,"=559",'ANALITIKA EU PROJEKATA'!$P$3:$P$498,"=312")</f>
        <v>0</v>
      </c>
      <c r="N7" s="138">
        <f>SUMIFS('Plan rashoda za unos u SAP'!$I$3:$I$501,'Plan rashoda za unos u SAP'!$C$3:$C$501,"=561",'Plan rashoda za unos u SAP'!$M$3:$M$501,"=312")+SUMIFS('ANALITIKA EU PROJEKATA'!$G$3:$G$498,'ANALITIKA EU PROJEKATA'!$A$3:$A$498,"=561",'ANALITIKA EU PROJEKATA'!$P$3:$P$498,"=312")</f>
        <v>0</v>
      </c>
      <c r="O7" s="138">
        <f>SUMIFS('Plan rashoda za unos u SAP'!$I$3:$I$501,'Plan rashoda za unos u SAP'!$C$3:$C$501,"=563",'Plan rashoda za unos u SAP'!$M$3:$M$501,"=312")+SUMIFS('ANALITIKA EU PROJEKATA'!$G$3:$G$498,'ANALITIKA EU PROJEKATA'!$A$3:$A$498,"=563",'ANALITIKA EU PROJEKATA'!$P$3:$P$498,"=312")</f>
        <v>0</v>
      </c>
      <c r="P7" s="138">
        <f>SUMIFS('Plan rashoda za unos u SAP'!$I$3:$I$501,'Plan rashoda za unos u SAP'!$C$3:$C$501,"=573",'Plan rashoda za unos u SAP'!$M$3:$M$501,"=312")+SUMIFS('ANALITIKA EU PROJEKATA'!$G$3:$G$498,'ANALITIKA EU PROJEKATA'!$A$3:$A$498,"=573",'ANALITIKA EU PROJEKATA'!$P$3:$P$498,"=312")</f>
        <v>0</v>
      </c>
      <c r="Q7" s="138">
        <f>SUMIFS('Plan rashoda za unos u SAP'!$I$3:$I$501,'Plan rashoda za unos u SAP'!$C$3:$C$501,"=575",'Plan rashoda za unos u SAP'!$M$3:$M$501,"=312")+SUMIFS('ANALITIKA EU PROJEKATA'!$G$3:$G$498,'ANALITIKA EU PROJEKATA'!$A$3:$A$498,"=575",'ANALITIKA EU PROJEKATA'!$P$3:$P$498,"=312")</f>
        <v>0</v>
      </c>
      <c r="R7" s="138">
        <f>SUMIFS('Plan rashoda za unos u SAP'!$I$3:$I$501,'Plan rashoda za unos u SAP'!$C$3:$C$501,"=576",'Plan rashoda za unos u SAP'!$M$3:$M$501,"=312")+SUMIFS('ANALITIKA EU PROJEKATA'!$G$3:$G$498,'ANALITIKA EU PROJEKATA'!$A$3:$A$498,"=576",'ANALITIKA EU PROJEKATA'!$P$3:$P$498,"=312")</f>
        <v>0</v>
      </c>
      <c r="S7" s="138">
        <f>SUMIFS('Plan rashoda za unos u SAP'!$I$3:$I$501,'Plan rashoda za unos u SAP'!$C$3:$C$501,"=581",'Plan rashoda za unos u SAP'!$M$3:$M$501,"=312")+SUMIFS('ANALITIKA EU PROJEKATA'!$G$3:$G$498,'ANALITIKA EU PROJEKATA'!$A$3:$A$498,"=581",'ANALITIKA EU PROJEKATA'!$P$3:$P$498,"=312")</f>
        <v>0</v>
      </c>
      <c r="T7" s="138">
        <f>SUMIFS('Plan rashoda za unos u SAP'!$I$3:$I$501,'Plan rashoda za unos u SAP'!$C$3:$C$501,"=61",'Plan rashoda za unos u SAP'!$M$3:$M$501,"=312")+SUMIFS('ANALITIKA EU PROJEKATA'!$G$3:$G$498,'ANALITIKA EU PROJEKATA'!$A$3:$A$498,"=61",'ANALITIKA EU PROJEKATA'!$P$3:$P$498,"=312")</f>
        <v>0</v>
      </c>
      <c r="U7" s="138">
        <f>SUMIFS('Plan rashoda za unos u SAP'!$I$3:$I$501,'Plan rashoda za unos u SAP'!$C$3:$C$501,"=63",'Plan rashoda za unos u SAP'!$M$3:$M$501,"=312")+SUMIFS('ANALITIKA EU PROJEKATA'!$G$3:$G$498,'ANALITIKA EU PROJEKATA'!$A$3:$A$498,"=63",'ANALITIKA EU PROJEKATA'!$P$3:$P$498,"=312")</f>
        <v>0</v>
      </c>
      <c r="V7" s="138">
        <f>SUMIFS('Plan rashoda za unos u SAP'!$I$3:$I$501,'Plan rashoda za unos u SAP'!$C$3:$C$501,"=71",'Plan rashoda za unos u SAP'!$M$3:$M$501,"=312")+SUMIFS('ANALITIKA EU PROJEKATA'!$G$3:$G$498,'ANALITIKA EU PROJEKATA'!$A$3:$A$498,"=71",'ANALITIKA EU PROJEKATA'!$P$3:$P$498,"=312")</f>
        <v>0</v>
      </c>
      <c r="W7" s="138">
        <f>SUMIFS('Plan rashoda za unos u SAP'!$I$3:$I$501,'Plan rashoda za unos u SAP'!$C$3:$C$501,"=81",'Plan rashoda za unos u SAP'!$M$3:$M$501,"=312")+SUMIFS('ANALITIKA EU PROJEKATA'!$G$3:$G$498,'ANALITIKA EU PROJEKATA'!$A$3:$A$498,"=81",'ANALITIKA EU PROJEKATA'!$P$3:$P$498,"=312")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3869530</v>
      </c>
      <c r="E8" s="138">
        <f>SUMIFS('Plan rashoda za unos u SAP'!$I$3:$I$501,'Plan rashoda za unos u SAP'!$C$3:$C$501,"=11",'Plan rashoda za unos u SAP'!$M$3:$M$501,"=313")+SUMIFS('ANALITIKA EU PROJEKATA'!$G$3:$G$498,'ANALITIKA EU PROJEKATA'!$A$3:$A$498,"=11",'ANALITIKA EU PROJEKATA'!$P$3:$P$498,"=313")</f>
        <v>2949011</v>
      </c>
      <c r="F8" s="138">
        <f>SUMIFS('Plan rashoda za unos u SAP'!$I$3:$I$501,'Plan rashoda za unos u SAP'!$C$3:$C$501,"=12",'Plan rashoda za unos u SAP'!$M$3:$M$501,"=313")+SUMIFS('ANALITIKA EU PROJEKATA'!$G$3:$G$498,'ANALITIKA EU PROJEKATA'!$A$3:$A$498,"=12",'ANALITIKA EU PROJEKATA'!$P$3:$P$498,"=313")</f>
        <v>0</v>
      </c>
      <c r="G8" s="138">
        <f>SUMIFS('Plan rashoda za unos u SAP'!$I$3:$I$501,'Plan rashoda za unos u SAP'!$C$3:$C$501,"=31",'Plan rashoda za unos u SAP'!$M$3:$M$501,"=313")+SUMIFS('ANALITIKA EU PROJEKATA'!$G$3:$G$498,'ANALITIKA EU PROJEKATA'!$A$3:$A$498,"=31",'ANALITIKA EU PROJEKATA'!$P$3:$P$498,"=313")</f>
        <v>330000</v>
      </c>
      <c r="H8" s="138">
        <f>SUMIFS('Plan rashoda za unos u SAP'!$I$3:$I$501,'Plan rashoda za unos u SAP'!$C$3:$C$501,"=41",'Plan rashoda za unos u SAP'!$M$3:$M$501,"=313")+SUMIFS('ANALITIKA EU PROJEKATA'!$G$3:$G$498,'ANALITIKA EU PROJEKATA'!$A$3:$A$498,"=41",'ANALITIKA EU PROJEKATA'!$P$3:$P$498,"=313")</f>
        <v>0</v>
      </c>
      <c r="I8" s="138">
        <f>SUMIFS('Plan rashoda za unos u SAP'!$I$3:$I$501,'Plan rashoda za unos u SAP'!$C$3:$C$501,"=43",'Plan rashoda za unos u SAP'!$M$3:$M$501,"=313")+SUMIFS('ANALITIKA EU PROJEKATA'!$G$3:$G$498,'ANALITIKA EU PROJEKATA'!$A$3:$A$498,"=43",'ANALITIKA EU PROJEKATA'!$P$3:$P$498,"=313")</f>
        <v>361003</v>
      </c>
      <c r="J8" s="138">
        <f>SUMIFS('Plan rashoda za unos u SAP'!$I$3:$I$501,'Plan rashoda za unos u SAP'!$C$3:$C$501,"=51",'Plan rashoda za unos u SAP'!$M$3:$M$501,"=313")+SUMIFS('ANALITIKA EU PROJEKATA'!$G$3:$G$498,'ANALITIKA EU PROJEKATA'!$A$3:$A$498,"=51",'ANALITIKA EU PROJEKATA'!$P$3:$P$498,"=313")</f>
        <v>78305</v>
      </c>
      <c r="K8" s="138">
        <f>SUMIFS('Plan rashoda za unos u SAP'!$I$3:$I$501,'Plan rashoda za unos u SAP'!$C$3:$C$501,"=52",'Plan rashoda za unos u SAP'!$M$3:$M$501,"=313")+SUMIFS('ANALITIKA EU PROJEKATA'!$G$3:$G$498,'ANALITIKA EU PROJEKATA'!$A$3:$A$498,"=52",'ANALITIKA EU PROJEKATA'!$P$3:$P$498,"=313")</f>
        <v>121044</v>
      </c>
      <c r="L8" s="138">
        <f>SUMIFS('Plan rashoda za unos u SAP'!$I$3:$I$501,'Plan rashoda za unos u SAP'!$C$3:$C$501,"=552",'Plan rashoda za unos u SAP'!$M$3:$M$501,"=313")+SUMIFS('ANALITIKA EU PROJEKATA'!$G$3:$G$498,'ANALITIKA EU PROJEKATA'!$A$3:$A$498,"=552",'ANALITIKA EU PROJEKATA'!$P$3:$P$498,"=313")</f>
        <v>0</v>
      </c>
      <c r="M8" s="138">
        <f>SUMIFS('Plan rashoda za unos u SAP'!$I$3:$I$501,'Plan rashoda za unos u SAP'!$C$3:$C$501,"=559",'Plan rashoda za unos u SAP'!$M$3:$M$501,"=313")+SUMIFS('ANALITIKA EU PROJEKATA'!$G$3:$G$498,'ANALITIKA EU PROJEKATA'!$A$3:$A$498,"=559",'ANALITIKA EU PROJEKATA'!$P$3:$P$498,"=313")</f>
        <v>0</v>
      </c>
      <c r="N8" s="138">
        <f>SUMIFS('Plan rashoda za unos u SAP'!$I$3:$I$501,'Plan rashoda za unos u SAP'!$C$3:$C$501,"=561",'Plan rashoda za unos u SAP'!$M$3:$M$501,"=313")+SUMIFS('ANALITIKA EU PROJEKATA'!$G$3:$G$498,'ANALITIKA EU PROJEKATA'!$A$3:$A$498,"=561",'ANALITIKA EU PROJEKATA'!$P$3:$P$498,"=313")</f>
        <v>30167</v>
      </c>
      <c r="O8" s="138">
        <f>SUMIFS('Plan rashoda za unos u SAP'!$I$3:$I$501,'Plan rashoda za unos u SAP'!$C$3:$C$501,"=563",'Plan rashoda za unos u SAP'!$M$3:$M$501,"=313")+SUMIFS('ANALITIKA EU PROJEKATA'!$G$3:$G$498,'ANALITIKA EU PROJEKATA'!$A$3:$A$498,"=563",'ANALITIKA EU PROJEKATA'!$P$3:$P$498,"=313")</f>
        <v>0</v>
      </c>
      <c r="P8" s="138">
        <f>SUMIFS('Plan rashoda za unos u SAP'!$I$3:$I$501,'Plan rashoda za unos u SAP'!$C$3:$C$501,"=573",'Plan rashoda za unos u SAP'!$M$3:$M$501,"=313")+SUMIFS('ANALITIKA EU PROJEKATA'!$G$3:$G$498,'ANALITIKA EU PROJEKATA'!$A$3:$A$498,"=573",'ANALITIKA EU PROJEKATA'!$P$3:$P$498,"=313")</f>
        <v>0</v>
      </c>
      <c r="Q8" s="138">
        <f>SUMIFS('Plan rashoda za unos u SAP'!$I$3:$I$501,'Plan rashoda za unos u SAP'!$C$3:$C$501,"=575",'Plan rashoda za unos u SAP'!$M$3:$M$501,"=313")+SUMIFS('ANALITIKA EU PROJEKATA'!$G$3:$G$498,'ANALITIKA EU PROJEKATA'!$A$3:$A$498,"=575",'ANALITIKA EU PROJEKATA'!$P$3:$P$498,"=313")</f>
        <v>0</v>
      </c>
      <c r="R8" s="138">
        <f>SUMIFS('Plan rashoda za unos u SAP'!$I$3:$I$501,'Plan rashoda za unos u SAP'!$C$3:$C$501,"=576",'Plan rashoda za unos u SAP'!$M$3:$M$501,"=313")+SUMIFS('ANALITIKA EU PROJEKATA'!$G$3:$G$498,'ANALITIKA EU PROJEKATA'!$A$3:$A$498,"=576",'ANALITIKA EU PROJEKATA'!$P$3:$P$498,"=313")</f>
        <v>0</v>
      </c>
      <c r="S8" s="138">
        <f>SUMIFS('Plan rashoda za unos u SAP'!$I$3:$I$501,'Plan rashoda za unos u SAP'!$C$3:$C$501,"=581",'Plan rashoda za unos u SAP'!$M$3:$M$501,"=313")+SUMIFS('ANALITIKA EU PROJEKATA'!$G$3:$G$498,'ANALITIKA EU PROJEKATA'!$A$3:$A$498,"=581",'ANALITIKA EU PROJEKATA'!$P$3:$P$498,"=313")</f>
        <v>0</v>
      </c>
      <c r="T8" s="138">
        <f>SUMIFS('Plan rashoda za unos u SAP'!$I$3:$I$501,'Plan rashoda za unos u SAP'!$C$3:$C$501,"=61",'Plan rashoda za unos u SAP'!$M$3:$M$501,"=313")+SUMIFS('ANALITIKA EU PROJEKATA'!$G$3:$G$498,'ANALITIKA EU PROJEKATA'!$A$3:$A$498,"=61",'ANALITIKA EU PROJEKATA'!$P$3:$P$498,"=313")</f>
        <v>0</v>
      </c>
      <c r="U8" s="138">
        <f>SUMIFS('Plan rashoda za unos u SAP'!$I$3:$I$501,'Plan rashoda za unos u SAP'!$C$3:$C$501,"=63",'Plan rashoda za unos u SAP'!$M$3:$M$501,"=313")+SUMIFS('ANALITIKA EU PROJEKATA'!$G$3:$G$498,'ANALITIKA EU PROJEKATA'!$A$3:$A$498,"=63",'ANALITIKA EU PROJEKATA'!$P$3:$P$498,"=313")</f>
        <v>0</v>
      </c>
      <c r="V8" s="138">
        <f>SUMIFS('Plan rashoda za unos u SAP'!$I$3:$I$501,'Plan rashoda za unos u SAP'!$C$3:$C$501,"=71",'Plan rashoda za unos u SAP'!$M$3:$M$501,"=313")+SUMIFS('ANALITIKA EU PROJEKATA'!$G$3:$G$498,'ANALITIKA EU PROJEKATA'!$A$3:$A$498,"=71",'ANALITIKA EU PROJEKATA'!$P$3:$P$498,"=313")</f>
        <v>0</v>
      </c>
      <c r="W8" s="138">
        <f>SUMIFS('Plan rashoda za unos u SAP'!$I$3:$I$501,'Plan rashoda za unos u SAP'!$C$3:$C$501,"=81",'Plan rashoda za unos u SAP'!$M$3:$M$501,"=313")+SUMIFS('ANALITIKA EU PROJEKATA'!$G$3:$G$498,'ANALITIKA EU PROJEKATA'!$A$3:$A$498,"=81",'ANALITIKA EU PROJEKATA'!$P$3:$P$498,"=313")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6122267</v>
      </c>
      <c r="E9" s="78">
        <f t="shared" ref="E9:W9" si="4">SUM(E10:E14)</f>
        <v>3293799</v>
      </c>
      <c r="F9" s="78">
        <f t="shared" si="4"/>
        <v>0</v>
      </c>
      <c r="G9" s="78">
        <f>SUM(G10:G14)</f>
        <v>596500</v>
      </c>
      <c r="H9" s="78">
        <f>SUM(H10:H14)</f>
        <v>0</v>
      </c>
      <c r="I9" s="78">
        <f t="shared" si="4"/>
        <v>812385</v>
      </c>
      <c r="J9" s="78">
        <f t="shared" si="4"/>
        <v>683100</v>
      </c>
      <c r="K9" s="78">
        <f t="shared" si="4"/>
        <v>338188</v>
      </c>
      <c r="L9" s="78">
        <f>SUM(L10:L14)</f>
        <v>0</v>
      </c>
      <c r="M9" s="78">
        <f t="shared" si="4"/>
        <v>0</v>
      </c>
      <c r="N9" s="78">
        <f t="shared" si="4"/>
        <v>320168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78127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987045</v>
      </c>
      <c r="E10" s="138">
        <f>SUMIFS('Plan rashoda za unos u SAP'!$I$3:$I$501,'Plan rashoda za unos u SAP'!$C$3:$C$501,"=11",'Plan rashoda za unos u SAP'!$M$3:$M$501,"=321")+SUMIFS('ANALITIKA EU PROJEKATA'!$G$3:$G$498,'ANALITIKA EU PROJEKATA'!$A$3:$A$498,"=11",'ANALITIKA EU PROJEKATA'!$P$3:$P$498,"=321")</f>
        <v>441220</v>
      </c>
      <c r="F10" s="138">
        <f>SUMIFS('Plan rashoda za unos u SAP'!$I$3:$I$501,'Plan rashoda za unos u SAP'!$C$3:$C$501,"=12",'Plan rashoda za unos u SAP'!$M$3:$M$501,"=321")+SUMIFS('ANALITIKA EU PROJEKATA'!$G$3:$G$498,'ANALITIKA EU PROJEKATA'!$A$3:$A$498,"=12",'ANALITIKA EU PROJEKATA'!$P$3:$P$498,"=321")</f>
        <v>0</v>
      </c>
      <c r="G10" s="138">
        <f>SUMIFS('Plan rashoda za unos u SAP'!$I$3:$I$501,'Plan rashoda za unos u SAP'!$C$3:$C$501,"=31",'Plan rashoda za unos u SAP'!$M$3:$M$501,"=321")+SUMIFS('ANALITIKA EU PROJEKATA'!$G$3:$G$498,'ANALITIKA EU PROJEKATA'!$A$3:$A$498,"=31",'ANALITIKA EU PROJEKATA'!$P$3:$P$498,"=321")</f>
        <v>120500</v>
      </c>
      <c r="H10" s="138">
        <f>SUMIFS('Plan rashoda za unos u SAP'!$I$3:$I$501,'Plan rashoda za unos u SAP'!$C$3:$C$501,"=41",'Plan rashoda za unos u SAP'!$M$3:$M$501,"=321")+SUMIFS('ANALITIKA EU PROJEKATA'!$G$3:$G$498,'ANALITIKA EU PROJEKATA'!$A$3:$A$498,"=41",'ANALITIKA EU PROJEKATA'!$P$3:$P$498,"=321")</f>
        <v>0</v>
      </c>
      <c r="I10" s="138">
        <f>SUMIFS('Plan rashoda za unos u SAP'!$I$3:$I$501,'Plan rashoda za unos u SAP'!$C$3:$C$501,"=43",'Plan rashoda za unos u SAP'!$M$3:$M$501,"=321")+SUMIFS('ANALITIKA EU PROJEKATA'!$G$3:$G$498,'ANALITIKA EU PROJEKATA'!$A$3:$A$498,"=43",'ANALITIKA EU PROJEKATA'!$P$3:$P$498,"=321")</f>
        <v>45000</v>
      </c>
      <c r="J10" s="138">
        <f>SUMIFS('Plan rashoda za unos u SAP'!$I$3:$I$501,'Plan rashoda za unos u SAP'!$C$3:$C$501,"=51",'Plan rashoda za unos u SAP'!$M$3:$M$501,"=321")+SUMIFS('ANALITIKA EU PROJEKATA'!$G$3:$G$498,'ANALITIKA EU PROJEKATA'!$A$3:$A$498,"=51",'ANALITIKA EU PROJEKATA'!$P$3:$P$498,"=321")</f>
        <v>55200</v>
      </c>
      <c r="K10" s="138">
        <f>SUMIFS('Plan rashoda za unos u SAP'!$I$3:$I$501,'Plan rashoda za unos u SAP'!$C$3:$C$501,"=52",'Plan rashoda za unos u SAP'!$M$3:$M$501,"=321")+SUMIFS('ANALITIKA EU PROJEKATA'!$G$3:$G$498,'ANALITIKA EU PROJEKATA'!$A$3:$A$498,"=52",'ANALITIKA EU PROJEKATA'!$P$3:$P$498,"=321")</f>
        <v>219000</v>
      </c>
      <c r="L10" s="138">
        <f>SUMIFS('Plan rashoda za unos u SAP'!$I$3:$I$501,'Plan rashoda za unos u SAP'!$C$3:$C$501,"=552",'Plan rashoda za unos u SAP'!$M$3:$M$501,"=321")+SUMIFS('ANALITIKA EU PROJEKATA'!$G$3:$G$498,'ANALITIKA EU PROJEKATA'!$A$3:$A$498,"=552",'ANALITIKA EU PROJEKATA'!$P$3:$P$498,"=321")</f>
        <v>0</v>
      </c>
      <c r="M10" s="138">
        <f>SUMIFS('Plan rashoda za unos u SAP'!$I$3:$I$501,'Plan rashoda za unos u SAP'!$C$3:$C$501,"=559",'Plan rashoda za unos u SAP'!$M$3:$M$501,"=321")+SUMIFS('ANALITIKA EU PROJEKATA'!$G$3:$G$498,'ANALITIKA EU PROJEKATA'!$A$3:$A$498,"=559",'ANALITIKA EU PROJEKATA'!$P$3:$P$498,"=321")</f>
        <v>0</v>
      </c>
      <c r="N10" s="138">
        <f>SUMIFS('Plan rashoda za unos u SAP'!$I$3:$I$501,'Plan rashoda za unos u SAP'!$C$3:$C$501,"=561",'Plan rashoda za unos u SAP'!$M$3:$M$501,"=321")+SUMIFS('ANALITIKA EU PROJEKATA'!$G$3:$G$498,'ANALITIKA EU PROJEKATA'!$A$3:$A$498,"=561",'ANALITIKA EU PROJEKATA'!$P$3:$P$498,"=321")</f>
        <v>40500</v>
      </c>
      <c r="O10" s="138">
        <f>SUMIFS('Plan rashoda za unos u SAP'!$I$3:$I$501,'Plan rashoda za unos u SAP'!$C$3:$C$501,"=563",'Plan rashoda za unos u SAP'!$M$3:$M$501,"=321")+SUMIFS('ANALITIKA EU PROJEKATA'!$G$3:$G$498,'ANALITIKA EU PROJEKATA'!$A$3:$A$498,"=563",'ANALITIKA EU PROJEKATA'!$P$3:$P$498,"=321")</f>
        <v>0</v>
      </c>
      <c r="P10" s="138">
        <f>SUMIFS('Plan rashoda za unos u SAP'!$I$3:$I$501,'Plan rashoda za unos u SAP'!$C$3:$C$501,"=573",'Plan rashoda za unos u SAP'!$M$3:$M$501,"=321")+SUMIFS('ANALITIKA EU PROJEKATA'!$G$3:$G$498,'ANALITIKA EU PROJEKATA'!$A$3:$A$498,"=573",'ANALITIKA EU PROJEKATA'!$P$3:$P$498,"=321")</f>
        <v>0</v>
      </c>
      <c r="Q10" s="138">
        <f>SUMIFS('Plan rashoda za unos u SAP'!$I$3:$I$501,'Plan rashoda za unos u SAP'!$C$3:$C$501,"=575",'Plan rashoda za unos u SAP'!$M$3:$M$501,"=321")+SUMIFS('ANALITIKA EU PROJEKATA'!$G$3:$G$498,'ANALITIKA EU PROJEKATA'!$A$3:$A$498,"=575",'ANALITIKA EU PROJEKATA'!$P$3:$P$498,"=321")</f>
        <v>0</v>
      </c>
      <c r="R10" s="138">
        <f>SUMIFS('Plan rashoda za unos u SAP'!$I$3:$I$501,'Plan rashoda za unos u SAP'!$C$3:$C$501,"=576",'Plan rashoda za unos u SAP'!$M$3:$M$501,"=321")+SUMIFS('ANALITIKA EU PROJEKATA'!$G$3:$G$498,'ANALITIKA EU PROJEKATA'!$A$3:$A$498,"=576",'ANALITIKA EU PROJEKATA'!$P$3:$P$498,"=321")</f>
        <v>0</v>
      </c>
      <c r="S10" s="138">
        <f>SUMIFS('Plan rashoda za unos u SAP'!$I$3:$I$501,'Plan rashoda za unos u SAP'!$C$3:$C$501,"=581",'Plan rashoda za unos u SAP'!$M$3:$M$501,"=321")+SUMIFS('ANALITIKA EU PROJEKATA'!$G$3:$G$498,'ANALITIKA EU PROJEKATA'!$A$3:$A$498,"=581",'ANALITIKA EU PROJEKATA'!$P$3:$P$498,"=321")</f>
        <v>0</v>
      </c>
      <c r="T10" s="138">
        <f>SUMIFS('Plan rashoda za unos u SAP'!$I$3:$I$501,'Plan rashoda za unos u SAP'!$C$3:$C$501,"=61",'Plan rashoda za unos u SAP'!$M$3:$M$501,"=321")+SUMIFS('ANALITIKA EU PROJEKATA'!$G$3:$G$498,'ANALITIKA EU PROJEKATA'!$A$3:$A$498,"=61",'ANALITIKA EU PROJEKATA'!$P$3:$P$498,"=321")</f>
        <v>65625</v>
      </c>
      <c r="U10" s="138">
        <f>SUMIFS('Plan rashoda za unos u SAP'!$I$3:$I$501,'Plan rashoda za unos u SAP'!$C$3:$C$501,"=63",'Plan rashoda za unos u SAP'!$M$3:$M$501,"=321")+SUMIFS('ANALITIKA EU PROJEKATA'!$G$3:$G$498,'ANALITIKA EU PROJEKATA'!$A$3:$A$498,"=63",'ANALITIKA EU PROJEKATA'!$P$3:$P$498,"=321")</f>
        <v>0</v>
      </c>
      <c r="V10" s="138">
        <f>SUMIFS('Plan rashoda za unos u SAP'!$I$3:$I$501,'Plan rashoda za unos u SAP'!$C$3:$C$501,"=71",'Plan rashoda za unos u SAP'!$M$3:$M$501,"=321")+SUMIFS('ANALITIKA EU PROJEKATA'!$G$3:$G$498,'ANALITIKA EU PROJEKATA'!$A$3:$A$498,"=71",'ANALITIKA EU PROJEKATA'!$P$3:$P$498,"=321")</f>
        <v>0</v>
      </c>
      <c r="W10" s="138">
        <f>SUMIFS('Plan rashoda za unos u SAP'!$I$3:$I$501,'Plan rashoda za unos u SAP'!$C$3:$C$501,"=81",'Plan rashoda za unos u SAP'!$M$3:$M$501,"=321")+SUMIFS('ANALITIKA EU PROJEKATA'!$G$3:$G$498,'ANALITIKA EU PROJEKATA'!$A$3:$A$498,"=81",'ANALITIKA EU PROJEKATA'!$P$3:$P$498,"=321")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1156000</v>
      </c>
      <c r="E11" s="138">
        <f>SUMIFS('Plan rashoda za unos u SAP'!$I$3:$I$501,'Plan rashoda za unos u SAP'!$C$3:$C$501,"=11",'Plan rashoda za unos u SAP'!$M$3:$M$501,"=322")+SUMIFS('ANALITIKA EU PROJEKATA'!$G$3:$G$498,'ANALITIKA EU PROJEKATA'!$A$3:$A$498,"=11",'ANALITIKA EU PROJEKATA'!$P$3:$P$498,"=322")</f>
        <v>924000</v>
      </c>
      <c r="F11" s="138">
        <f>SUMIFS('Plan rashoda za unos u SAP'!$I$3:$I$501,'Plan rashoda za unos u SAP'!$C$3:$C$501,"=12",'Plan rashoda za unos u SAP'!$M$3:$M$501,"=322")+SUMIFS('ANALITIKA EU PROJEKATA'!$G$3:$G$498,'ANALITIKA EU PROJEKATA'!$A$3:$A$498,"=12",'ANALITIKA EU PROJEKATA'!$P$3:$P$498,"=322")</f>
        <v>0</v>
      </c>
      <c r="G11" s="138">
        <f>SUMIFS('Plan rashoda za unos u SAP'!$I$3:$I$501,'Plan rashoda za unos u SAP'!$C$3:$C$501,"=31",'Plan rashoda za unos u SAP'!$M$3:$M$501,"=322")+SUMIFS('ANALITIKA EU PROJEKATA'!$G$3:$G$498,'ANALITIKA EU PROJEKATA'!$A$3:$A$498,"=31",'ANALITIKA EU PROJEKATA'!$P$3:$P$498,"=322")</f>
        <v>72500</v>
      </c>
      <c r="H11" s="138">
        <f>SUMIFS('Plan rashoda za unos u SAP'!$I$3:$I$501,'Plan rashoda za unos u SAP'!$C$3:$C$501,"=41",'Plan rashoda za unos u SAP'!$M$3:$M$501,"=322")+SUMIFS('ANALITIKA EU PROJEKATA'!$G$3:$G$498,'ANALITIKA EU PROJEKATA'!$A$3:$A$498,"=41",'ANALITIKA EU PROJEKATA'!$P$3:$P$498,"=322")</f>
        <v>0</v>
      </c>
      <c r="I11" s="138">
        <f>SUMIFS('Plan rashoda za unos u SAP'!$I$3:$I$501,'Plan rashoda za unos u SAP'!$C$3:$C$501,"=43",'Plan rashoda za unos u SAP'!$M$3:$M$501,"=322")+SUMIFS('ANALITIKA EU PROJEKATA'!$G$3:$G$498,'ANALITIKA EU PROJEKATA'!$A$3:$A$498,"=43",'ANALITIKA EU PROJEKATA'!$P$3:$P$498,"=322")</f>
        <v>8500</v>
      </c>
      <c r="J11" s="138">
        <f>SUMIFS('Plan rashoda za unos u SAP'!$I$3:$I$501,'Plan rashoda za unos u SAP'!$C$3:$C$501,"=51",'Plan rashoda za unos u SAP'!$M$3:$M$501,"=322")+SUMIFS('ANALITIKA EU PROJEKATA'!$G$3:$G$498,'ANALITIKA EU PROJEKATA'!$A$3:$A$498,"=51",'ANALITIKA EU PROJEKATA'!$P$3:$P$498,"=322")</f>
        <v>131100</v>
      </c>
      <c r="K11" s="138">
        <f>SUMIFS('Plan rashoda za unos u SAP'!$I$3:$I$501,'Plan rashoda za unos u SAP'!$C$3:$C$501,"=52",'Plan rashoda za unos u SAP'!$M$3:$M$501,"=322")+SUMIFS('ANALITIKA EU PROJEKATA'!$G$3:$G$498,'ANALITIKA EU PROJEKATA'!$A$3:$A$498,"=52",'ANALITIKA EU PROJEKATA'!$P$3:$P$498,"=322")</f>
        <v>8000</v>
      </c>
      <c r="L11" s="138">
        <f>SUMIFS('Plan rashoda za unos u SAP'!$I$3:$I$501,'Plan rashoda za unos u SAP'!$C$3:$C$501,"=552",'Plan rashoda za unos u SAP'!$M$3:$M$501,"=322")+SUMIFS('ANALITIKA EU PROJEKATA'!$G$3:$G$498,'ANALITIKA EU PROJEKATA'!$A$3:$A$498,"=552",'ANALITIKA EU PROJEKATA'!$P$3:$P$498,"=322")</f>
        <v>0</v>
      </c>
      <c r="M11" s="138">
        <f>SUMIFS('Plan rashoda za unos u SAP'!$I$3:$I$501,'Plan rashoda za unos u SAP'!$C$3:$C$501,"=559",'Plan rashoda za unos u SAP'!$M$3:$M$501,"=322")+SUMIFS('ANALITIKA EU PROJEKATA'!$G$3:$G$498,'ANALITIKA EU PROJEKATA'!$A$3:$A$498,"=559",'ANALITIKA EU PROJEKATA'!$P$3:$P$498,"=322")</f>
        <v>0</v>
      </c>
      <c r="N11" s="138">
        <f>SUMIFS('Plan rashoda za unos u SAP'!$I$3:$I$501,'Plan rashoda za unos u SAP'!$C$3:$C$501,"=561",'Plan rashoda za unos u SAP'!$M$3:$M$501,"=322")+SUMIFS('ANALITIKA EU PROJEKATA'!$G$3:$G$498,'ANALITIKA EU PROJEKATA'!$A$3:$A$498,"=561",'ANALITIKA EU PROJEKATA'!$P$3:$P$498,"=322")</f>
        <v>6900</v>
      </c>
      <c r="O11" s="138">
        <f>SUMIFS('Plan rashoda za unos u SAP'!$I$3:$I$501,'Plan rashoda za unos u SAP'!$C$3:$C$501,"=563",'Plan rashoda za unos u SAP'!$M$3:$M$501,"=322")+SUMIFS('ANALITIKA EU PROJEKATA'!$G$3:$G$498,'ANALITIKA EU PROJEKATA'!$A$3:$A$498,"=563",'ANALITIKA EU PROJEKATA'!$P$3:$P$498,"=322")</f>
        <v>0</v>
      </c>
      <c r="P11" s="138">
        <f>SUMIFS('Plan rashoda za unos u SAP'!$I$3:$I$501,'Plan rashoda za unos u SAP'!$C$3:$C$501,"=573",'Plan rashoda za unos u SAP'!$M$3:$M$501,"=322")+SUMIFS('ANALITIKA EU PROJEKATA'!$G$3:$G$498,'ANALITIKA EU PROJEKATA'!$A$3:$A$498,"=573",'ANALITIKA EU PROJEKATA'!$P$3:$P$498,"=322")</f>
        <v>0</v>
      </c>
      <c r="Q11" s="138">
        <f>SUMIFS('Plan rashoda za unos u SAP'!$I$3:$I$501,'Plan rashoda za unos u SAP'!$C$3:$C$501,"=575",'Plan rashoda za unos u SAP'!$M$3:$M$501,"=322")+SUMIFS('ANALITIKA EU PROJEKATA'!$G$3:$G$498,'ANALITIKA EU PROJEKATA'!$A$3:$A$498,"=575",'ANALITIKA EU PROJEKATA'!$P$3:$P$498,"=322")</f>
        <v>0</v>
      </c>
      <c r="R11" s="138">
        <f>SUMIFS('Plan rashoda za unos u SAP'!$I$3:$I$501,'Plan rashoda za unos u SAP'!$C$3:$C$501,"=576",'Plan rashoda za unos u SAP'!$M$3:$M$501,"=322")+SUMIFS('ANALITIKA EU PROJEKATA'!$G$3:$G$498,'ANALITIKA EU PROJEKATA'!$A$3:$A$498,"=576",'ANALITIKA EU PROJEKATA'!$P$3:$P$498,"=322")</f>
        <v>0</v>
      </c>
      <c r="S11" s="138">
        <f>SUMIFS('Plan rashoda za unos u SAP'!$I$3:$I$501,'Plan rashoda za unos u SAP'!$C$3:$C$501,"=581",'Plan rashoda za unos u SAP'!$M$3:$M$501,"=322")+SUMIFS('ANALITIKA EU PROJEKATA'!$G$3:$G$498,'ANALITIKA EU PROJEKATA'!$A$3:$A$498,"=581",'ANALITIKA EU PROJEKATA'!$P$3:$P$498,"=322")</f>
        <v>0</v>
      </c>
      <c r="T11" s="138">
        <f>SUMIFS('Plan rashoda za unos u SAP'!$I$3:$I$501,'Plan rashoda za unos u SAP'!$C$3:$C$501,"=61",'Plan rashoda za unos u SAP'!$M$3:$M$501,"=322")+SUMIFS('ANALITIKA EU PROJEKATA'!$G$3:$G$498,'ANALITIKA EU PROJEKATA'!$A$3:$A$498,"=61",'ANALITIKA EU PROJEKATA'!$P$3:$P$498,"=322")</f>
        <v>5000</v>
      </c>
      <c r="U11" s="138">
        <f>SUMIFS('Plan rashoda za unos u SAP'!$I$3:$I$501,'Plan rashoda za unos u SAP'!$C$3:$C$501,"=63",'Plan rashoda za unos u SAP'!$M$3:$M$501,"=322")+SUMIFS('ANALITIKA EU PROJEKATA'!$G$3:$G$498,'ANALITIKA EU PROJEKATA'!$A$3:$A$498,"=63",'ANALITIKA EU PROJEKATA'!$P$3:$P$498,"=322")</f>
        <v>0</v>
      </c>
      <c r="V11" s="138">
        <f>SUMIFS('Plan rashoda za unos u SAP'!$I$3:$I$501,'Plan rashoda za unos u SAP'!$C$3:$C$501,"=71",'Plan rashoda za unos u SAP'!$M$3:$M$501,"=322")+SUMIFS('ANALITIKA EU PROJEKATA'!$G$3:$G$498,'ANALITIKA EU PROJEKATA'!$A$3:$A$498,"=71",'ANALITIKA EU PROJEKATA'!$P$3:$P$498,"=322")</f>
        <v>0</v>
      </c>
      <c r="W11" s="138">
        <f>SUMIFS('Plan rashoda za unos u SAP'!$I$3:$I$501,'Plan rashoda za unos u SAP'!$C$3:$C$501,"=81",'Plan rashoda za unos u SAP'!$M$3:$M$501,"=322")+SUMIFS('ANALITIKA EU PROJEKATA'!$G$3:$G$498,'ANALITIKA EU PROJEKATA'!$A$3:$A$498,"=81",'ANALITIKA EU PROJEKATA'!$P$3:$P$498,"=322")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3434232</v>
      </c>
      <c r="E12" s="138">
        <f>SUMIFS('Plan rashoda za unos u SAP'!$I$3:$I$501,'Plan rashoda za unos u SAP'!$C$3:$C$501,"=11",'Plan rashoda za unos u SAP'!$M$3:$M$501,"=323")+SUMIFS('ANALITIKA EU PROJEKATA'!$G$3:$G$498,'ANALITIKA EU PROJEKATA'!$A$3:$A$498,"=11",'ANALITIKA EU PROJEKATA'!$P$3:$P$498,"=323")</f>
        <v>1642647</v>
      </c>
      <c r="F12" s="138">
        <f>SUMIFS('Plan rashoda za unos u SAP'!$I$3:$I$501,'Plan rashoda za unos u SAP'!$C$3:$C$501,"=12",'Plan rashoda za unos u SAP'!$M$3:$M$501,"=323")+SUMIFS('ANALITIKA EU PROJEKATA'!$G$3:$G$498,'ANALITIKA EU PROJEKATA'!$A$3:$A$498,"=12",'ANALITIKA EU PROJEKATA'!$P$3:$P$498,"=323")</f>
        <v>0</v>
      </c>
      <c r="G12" s="138">
        <f>SUMIFS('Plan rashoda za unos u SAP'!$I$3:$I$501,'Plan rashoda za unos u SAP'!$C$3:$C$501,"=31",'Plan rashoda za unos u SAP'!$M$3:$M$501,"=323")+SUMIFS('ANALITIKA EU PROJEKATA'!$G$3:$G$498,'ANALITIKA EU PROJEKATA'!$A$3:$A$498,"=31",'ANALITIKA EU PROJEKATA'!$P$3:$P$498,"=323")</f>
        <v>296000</v>
      </c>
      <c r="H12" s="138">
        <f>SUMIFS('Plan rashoda za unos u SAP'!$I$3:$I$501,'Plan rashoda za unos u SAP'!$C$3:$C$501,"=41",'Plan rashoda za unos u SAP'!$M$3:$M$501,"=323")+SUMIFS('ANALITIKA EU PROJEKATA'!$G$3:$G$498,'ANALITIKA EU PROJEKATA'!$A$3:$A$498,"=41",'ANALITIKA EU PROJEKATA'!$P$3:$P$498,"=323")</f>
        <v>0</v>
      </c>
      <c r="I12" s="138">
        <f>SUMIFS('Plan rashoda za unos u SAP'!$I$3:$I$501,'Plan rashoda za unos u SAP'!$C$3:$C$501,"=43",'Plan rashoda za unos u SAP'!$M$3:$M$501,"=323")+SUMIFS('ANALITIKA EU PROJEKATA'!$G$3:$G$498,'ANALITIKA EU PROJEKATA'!$A$3:$A$498,"=43",'ANALITIKA EU PROJEKATA'!$P$3:$P$498,"=323")</f>
        <v>705500</v>
      </c>
      <c r="J12" s="138">
        <f>SUMIFS('Plan rashoda za unos u SAP'!$I$3:$I$501,'Plan rashoda za unos u SAP'!$C$3:$C$501,"=51",'Plan rashoda za unos u SAP'!$M$3:$M$501,"=323")+SUMIFS('ANALITIKA EU PROJEKATA'!$G$3:$G$498,'ANALITIKA EU PROJEKATA'!$A$3:$A$498,"=51",'ANALITIKA EU PROJEKATA'!$P$3:$P$498,"=323")</f>
        <v>496800</v>
      </c>
      <c r="K12" s="138">
        <f>SUMIFS('Plan rashoda za unos u SAP'!$I$3:$I$501,'Plan rashoda za unos u SAP'!$C$3:$C$501,"=52",'Plan rashoda za unos u SAP'!$M$3:$M$501,"=323")+SUMIFS('ANALITIKA EU PROJEKATA'!$G$3:$G$498,'ANALITIKA EU PROJEKATA'!$A$3:$A$498,"=52",'ANALITIKA EU PROJEKATA'!$P$3:$P$498,"=323")</f>
        <v>91463</v>
      </c>
      <c r="L12" s="138">
        <f>SUMIFS('Plan rashoda za unos u SAP'!$I$3:$I$501,'Plan rashoda za unos u SAP'!$C$3:$C$501,"=552",'Plan rashoda za unos u SAP'!$M$3:$M$501,"=323")+SUMIFS('ANALITIKA EU PROJEKATA'!$G$3:$G$498,'ANALITIKA EU PROJEKATA'!$A$3:$A$498,"=552",'ANALITIKA EU PROJEKATA'!$P$3:$P$498,"=323")</f>
        <v>0</v>
      </c>
      <c r="M12" s="138">
        <f>SUMIFS('Plan rashoda za unos u SAP'!$I$3:$I$501,'Plan rashoda za unos u SAP'!$C$3:$C$501,"=559",'Plan rashoda za unos u SAP'!$M$3:$M$501,"=323")+SUMIFS('ANALITIKA EU PROJEKATA'!$G$3:$G$498,'ANALITIKA EU PROJEKATA'!$A$3:$A$498,"=559",'ANALITIKA EU PROJEKATA'!$P$3:$P$498,"=323")</f>
        <v>0</v>
      </c>
      <c r="N12" s="138">
        <f>SUMIFS('Plan rashoda za unos u SAP'!$I$3:$I$501,'Plan rashoda za unos u SAP'!$C$3:$C$501,"=561",'Plan rashoda za unos u SAP'!$M$3:$M$501,"=323")+SUMIFS('ANALITIKA EU PROJEKATA'!$G$3:$G$498,'ANALITIKA EU PROJEKATA'!$A$3:$A$498,"=561",'ANALITIKA EU PROJEKATA'!$P$3:$P$498,"=323")</f>
        <v>194320</v>
      </c>
      <c r="O12" s="138">
        <f>SUMIFS('Plan rashoda za unos u SAP'!$I$3:$I$501,'Plan rashoda za unos u SAP'!$C$3:$C$501,"=563",'Plan rashoda za unos u SAP'!$M$3:$M$501,"=323")+SUMIFS('ANALITIKA EU PROJEKATA'!$G$3:$G$498,'ANALITIKA EU PROJEKATA'!$A$3:$A$498,"=563",'ANALITIKA EU PROJEKATA'!$P$3:$P$498,"=323")</f>
        <v>0</v>
      </c>
      <c r="P12" s="138">
        <f>SUMIFS('Plan rashoda za unos u SAP'!$I$3:$I$501,'Plan rashoda za unos u SAP'!$C$3:$C$501,"=573",'Plan rashoda za unos u SAP'!$M$3:$M$501,"=323")+SUMIFS('ANALITIKA EU PROJEKATA'!$G$3:$G$498,'ANALITIKA EU PROJEKATA'!$A$3:$A$498,"=573",'ANALITIKA EU PROJEKATA'!$P$3:$P$498,"=323")</f>
        <v>0</v>
      </c>
      <c r="Q12" s="138">
        <f>SUMIFS('Plan rashoda za unos u SAP'!$I$3:$I$501,'Plan rashoda za unos u SAP'!$C$3:$C$501,"=575",'Plan rashoda za unos u SAP'!$M$3:$M$501,"=323")+SUMIFS('ANALITIKA EU PROJEKATA'!$G$3:$G$498,'ANALITIKA EU PROJEKATA'!$A$3:$A$498,"=575",'ANALITIKA EU PROJEKATA'!$P$3:$P$498,"=323")</f>
        <v>0</v>
      </c>
      <c r="R12" s="138">
        <f>SUMIFS('Plan rashoda za unos u SAP'!$I$3:$I$501,'Plan rashoda za unos u SAP'!$C$3:$C$501,"=576",'Plan rashoda za unos u SAP'!$M$3:$M$501,"=323")+SUMIFS('ANALITIKA EU PROJEKATA'!$G$3:$G$498,'ANALITIKA EU PROJEKATA'!$A$3:$A$498,"=576",'ANALITIKA EU PROJEKATA'!$P$3:$P$498,"=323")</f>
        <v>0</v>
      </c>
      <c r="S12" s="138">
        <f>SUMIFS('Plan rashoda za unos u SAP'!$I$3:$I$501,'Plan rashoda za unos u SAP'!$C$3:$C$501,"=581",'Plan rashoda za unos u SAP'!$M$3:$M$501,"=323")+SUMIFS('ANALITIKA EU PROJEKATA'!$G$3:$G$498,'ANALITIKA EU PROJEKATA'!$A$3:$A$498,"=581",'ANALITIKA EU PROJEKATA'!$P$3:$P$498,"=323")</f>
        <v>0</v>
      </c>
      <c r="T12" s="138">
        <f>SUMIFS('Plan rashoda za unos u SAP'!$I$3:$I$501,'Plan rashoda za unos u SAP'!$C$3:$C$501,"=61",'Plan rashoda za unos u SAP'!$M$3:$M$501,"=323")+SUMIFS('ANALITIKA EU PROJEKATA'!$G$3:$G$498,'ANALITIKA EU PROJEKATA'!$A$3:$A$498,"=61",'ANALITIKA EU PROJEKATA'!$P$3:$P$498,"=323")</f>
        <v>7502</v>
      </c>
      <c r="U12" s="138">
        <f>SUMIFS('Plan rashoda za unos u SAP'!$I$3:$I$501,'Plan rashoda za unos u SAP'!$C$3:$C$501,"=63",'Plan rashoda za unos u SAP'!$M$3:$M$501,"=323")+SUMIFS('ANALITIKA EU PROJEKATA'!$G$3:$G$498,'ANALITIKA EU PROJEKATA'!$A$3:$A$498,"=63",'ANALITIKA EU PROJEKATA'!$P$3:$P$498,"=323")</f>
        <v>0</v>
      </c>
      <c r="V12" s="138">
        <f>SUMIFS('Plan rashoda za unos u SAP'!$I$3:$I$501,'Plan rashoda za unos u SAP'!$C$3:$C$501,"=71",'Plan rashoda za unos u SAP'!$M$3:$M$501,"=323")+SUMIFS('ANALITIKA EU PROJEKATA'!$G$3:$G$498,'ANALITIKA EU PROJEKATA'!$A$3:$A$498,"=71",'ANALITIKA EU PROJEKATA'!$P$3:$P$498,"=323")</f>
        <v>0</v>
      </c>
      <c r="W12" s="138">
        <f>SUMIFS('Plan rashoda za unos u SAP'!$I$3:$I$501,'Plan rashoda za unos u SAP'!$C$3:$C$501,"=81",'Plan rashoda za unos u SAP'!$M$3:$M$501,"=323")+SUMIFS('ANALITIKA EU PROJEKATA'!$G$3:$G$498,'ANALITIKA EU PROJEKATA'!$A$3:$A$498,"=81",'ANALITIKA EU PROJEKATA'!$P$3:$P$498,"=323")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130396</v>
      </c>
      <c r="E13" s="138">
        <f>SUMIFS('Plan rashoda za unos u SAP'!$I$3:$I$501,'Plan rashoda za unos u SAP'!$C$3:$C$501,"=11",'Plan rashoda za unos u SAP'!$M$3:$M$501,"=324")+SUMIFS('ANALITIKA EU PROJEKATA'!$G$3:$G$498,'ANALITIKA EU PROJEKATA'!$A$3:$A$498,"=11",'ANALITIKA EU PROJEKATA'!$P$3:$P$498,"=324")</f>
        <v>0</v>
      </c>
      <c r="F13" s="138">
        <f>SUMIFS('Plan rashoda za unos u SAP'!$I$3:$I$501,'Plan rashoda za unos u SAP'!$C$3:$C$501,"=12",'Plan rashoda za unos u SAP'!$M$3:$M$501,"=324")+SUMIFS('ANALITIKA EU PROJEKATA'!$G$3:$G$498,'ANALITIKA EU PROJEKATA'!$A$3:$A$498,"=12",'ANALITIKA EU PROJEKATA'!$P$3:$P$498,"=324")</f>
        <v>0</v>
      </c>
      <c r="G13" s="138">
        <f>SUMIFS('Plan rashoda za unos u SAP'!$I$3:$I$501,'Plan rashoda za unos u SAP'!$C$3:$C$501,"=31",'Plan rashoda za unos u SAP'!$M$3:$M$501,"=324")+SUMIFS('ANALITIKA EU PROJEKATA'!$G$3:$G$498,'ANALITIKA EU PROJEKATA'!$A$3:$A$498,"=31",'ANALITIKA EU PROJEKATA'!$P$3:$P$498,"=324")</f>
        <v>20000</v>
      </c>
      <c r="H13" s="138">
        <f>SUMIFS('Plan rashoda za unos u SAP'!$I$3:$I$501,'Plan rashoda za unos u SAP'!$C$3:$C$501,"=41",'Plan rashoda za unos u SAP'!$M$3:$M$501,"=324")+SUMIFS('ANALITIKA EU PROJEKATA'!$G$3:$G$498,'ANALITIKA EU PROJEKATA'!$A$3:$A$498,"=41",'ANALITIKA EU PROJEKATA'!$P$3:$P$498,"=324")</f>
        <v>0</v>
      </c>
      <c r="I13" s="138">
        <f>SUMIFS('Plan rashoda za unos u SAP'!$I$3:$I$501,'Plan rashoda za unos u SAP'!$C$3:$C$501,"=43",'Plan rashoda za unos u SAP'!$M$3:$M$501,"=324")+SUMIFS('ANALITIKA EU PROJEKATA'!$G$3:$G$498,'ANALITIKA EU PROJEKATA'!$A$3:$A$498,"=43",'ANALITIKA EU PROJEKATA'!$P$3:$P$498,"=324")</f>
        <v>37000</v>
      </c>
      <c r="J13" s="138">
        <f>SUMIFS('Plan rashoda za unos u SAP'!$I$3:$I$501,'Plan rashoda za unos u SAP'!$C$3:$C$501,"=51",'Plan rashoda za unos u SAP'!$M$3:$M$501,"=324")+SUMIFS('ANALITIKA EU PROJEKATA'!$G$3:$G$498,'ANALITIKA EU PROJEKATA'!$A$3:$A$498,"=51",'ANALITIKA EU PROJEKATA'!$P$3:$P$498,"=324")</f>
        <v>0</v>
      </c>
      <c r="K13" s="138">
        <f>SUMIFS('Plan rashoda za unos u SAP'!$I$3:$I$501,'Plan rashoda za unos u SAP'!$C$3:$C$501,"=52",'Plan rashoda za unos u SAP'!$M$3:$M$501,"=324")+SUMIFS('ANALITIKA EU PROJEKATA'!$G$3:$G$498,'ANALITIKA EU PROJEKATA'!$A$3:$A$498,"=52",'ANALITIKA EU PROJEKATA'!$P$3:$P$498,"=324")</f>
        <v>13030</v>
      </c>
      <c r="L13" s="138">
        <f>SUMIFS('Plan rashoda za unos u SAP'!$I$3:$I$501,'Plan rashoda za unos u SAP'!$C$3:$C$501,"=552",'Plan rashoda za unos u SAP'!$M$3:$M$501,"=324")+SUMIFS('ANALITIKA EU PROJEKATA'!$G$3:$G$498,'ANALITIKA EU PROJEKATA'!$A$3:$A$498,"=552",'ANALITIKA EU PROJEKATA'!$P$3:$P$498,"=324")</f>
        <v>0</v>
      </c>
      <c r="M13" s="138">
        <f>SUMIFS('Plan rashoda za unos u SAP'!$I$3:$I$501,'Plan rashoda za unos u SAP'!$C$3:$C$501,"=559",'Plan rashoda za unos u SAP'!$M$3:$M$501,"=324")+SUMIFS('ANALITIKA EU PROJEKATA'!$G$3:$G$498,'ANALITIKA EU PROJEKATA'!$A$3:$A$498,"=559",'ANALITIKA EU PROJEKATA'!$P$3:$P$498,"=324")</f>
        <v>0</v>
      </c>
      <c r="N13" s="138">
        <f>SUMIFS('Plan rashoda za unos u SAP'!$I$3:$I$501,'Plan rashoda za unos u SAP'!$C$3:$C$501,"=561",'Plan rashoda za unos u SAP'!$M$3:$M$501,"=324")+SUMIFS('ANALITIKA EU PROJEKATA'!$G$3:$G$498,'ANALITIKA EU PROJEKATA'!$A$3:$A$498,"=561",'ANALITIKA EU PROJEKATA'!$P$3:$P$498,"=324")</f>
        <v>60366</v>
      </c>
      <c r="O13" s="138">
        <f>SUMIFS('Plan rashoda za unos u SAP'!$I$3:$I$501,'Plan rashoda za unos u SAP'!$C$3:$C$501,"=563",'Plan rashoda za unos u SAP'!$M$3:$M$501,"=324")+SUMIFS('ANALITIKA EU PROJEKATA'!$G$3:$G$498,'ANALITIKA EU PROJEKATA'!$A$3:$A$498,"=563",'ANALITIKA EU PROJEKATA'!$P$3:$P$498,"=324")</f>
        <v>0</v>
      </c>
      <c r="P13" s="138">
        <f>SUMIFS('Plan rashoda za unos u SAP'!$I$3:$I$501,'Plan rashoda za unos u SAP'!$C$3:$C$501,"=573",'Plan rashoda za unos u SAP'!$M$3:$M$501,"=324")+SUMIFS('ANALITIKA EU PROJEKATA'!$G$3:$G$498,'ANALITIKA EU PROJEKATA'!$A$3:$A$498,"=573",'ANALITIKA EU PROJEKATA'!$P$3:$P$498,"=324")</f>
        <v>0</v>
      </c>
      <c r="Q13" s="138">
        <f>SUMIFS('Plan rashoda za unos u SAP'!$I$3:$I$501,'Plan rashoda za unos u SAP'!$C$3:$C$501,"=575",'Plan rashoda za unos u SAP'!$M$3:$M$501,"=324")+SUMIFS('ANALITIKA EU PROJEKATA'!$G$3:$G$498,'ANALITIKA EU PROJEKATA'!$A$3:$A$498,"=575",'ANALITIKA EU PROJEKATA'!$P$3:$P$498,"=324")</f>
        <v>0</v>
      </c>
      <c r="R13" s="138">
        <f>SUMIFS('Plan rashoda za unos u SAP'!$I$3:$I$501,'Plan rashoda za unos u SAP'!$C$3:$C$501,"=576",'Plan rashoda za unos u SAP'!$M$3:$M$501,"=324")+SUMIFS('ANALITIKA EU PROJEKATA'!$G$3:$G$498,'ANALITIKA EU PROJEKATA'!$A$3:$A$498,"=576",'ANALITIKA EU PROJEKATA'!$P$3:$P$498,"=324")</f>
        <v>0</v>
      </c>
      <c r="S13" s="138">
        <f>SUMIFS('Plan rashoda za unos u SAP'!$I$3:$I$501,'Plan rashoda za unos u SAP'!$C$3:$C$501,"=581",'Plan rashoda za unos u SAP'!$M$3:$M$501,"=324")+SUMIFS('ANALITIKA EU PROJEKATA'!$G$3:$G$498,'ANALITIKA EU PROJEKATA'!$A$3:$A$498,"=581",'ANALITIKA EU PROJEKATA'!$P$3:$P$498,"=324")</f>
        <v>0</v>
      </c>
      <c r="T13" s="138">
        <f>SUMIFS('Plan rashoda za unos u SAP'!$I$3:$I$501,'Plan rashoda za unos u SAP'!$C$3:$C$501,"=61",'Plan rashoda za unos u SAP'!$M$3:$M$501,"=324")+SUMIFS('ANALITIKA EU PROJEKATA'!$G$3:$G$498,'ANALITIKA EU PROJEKATA'!$A$3:$A$498,"=61",'ANALITIKA EU PROJEKATA'!$P$3:$P$498,"=324")</f>
        <v>0</v>
      </c>
      <c r="U13" s="138">
        <f>SUMIFS('Plan rashoda za unos u SAP'!$I$3:$I$501,'Plan rashoda za unos u SAP'!$C$3:$C$501,"=63",'Plan rashoda za unos u SAP'!$M$3:$M$501,"=324")+SUMIFS('ANALITIKA EU PROJEKATA'!$G$3:$G$498,'ANALITIKA EU PROJEKATA'!$A$3:$A$498,"=63",'ANALITIKA EU PROJEKATA'!$P$3:$P$498,"=324")</f>
        <v>0</v>
      </c>
      <c r="V13" s="138">
        <f>SUMIFS('Plan rashoda za unos u SAP'!$I$3:$I$501,'Plan rashoda za unos u SAP'!$C$3:$C$501,"=71",'Plan rashoda za unos u SAP'!$M$3:$M$501,"=324")+SUMIFS('ANALITIKA EU PROJEKATA'!$G$3:$G$498,'ANALITIKA EU PROJEKATA'!$A$3:$A$498,"=71",'ANALITIKA EU PROJEKATA'!$P$3:$P$498,"=324")</f>
        <v>0</v>
      </c>
      <c r="W13" s="138">
        <f>SUMIFS('Plan rashoda za unos u SAP'!$I$3:$I$501,'Plan rashoda za unos u SAP'!$C$3:$C$501,"=81",'Plan rashoda za unos u SAP'!$M$3:$M$501,"=324")+SUMIFS('ANALITIKA EU PROJEKATA'!$G$3:$G$498,'ANALITIKA EU PROJEKATA'!$A$3:$A$498,"=81",'ANALITIKA EU PROJEKATA'!$P$3:$P$498,"=324")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414594</v>
      </c>
      <c r="E14" s="138">
        <f>SUMIFS('Plan rashoda za unos u SAP'!$I$3:$I$501,'Plan rashoda za unos u SAP'!$C$3:$C$501,"=11",'Plan rashoda za unos u SAP'!$M$3:$M$501,"=329")+SUMIFS('ANALITIKA EU PROJEKATA'!$G$3:$G$498,'ANALITIKA EU PROJEKATA'!$A$3:$A$498,"=11",'ANALITIKA EU PROJEKATA'!$P$3:$P$498,"=329")</f>
        <v>285932</v>
      </c>
      <c r="F14" s="138">
        <f>SUMIFS('Plan rashoda za unos u SAP'!$I$3:$I$501,'Plan rashoda za unos u SAP'!$C$3:$C$501,"=12",'Plan rashoda za unos u SAP'!$M$3:$M$501,"=329")+SUMIFS('ANALITIKA EU PROJEKATA'!$G$3:$G$498,'ANALITIKA EU PROJEKATA'!$A$3:$A$498,"=12",'ANALITIKA EU PROJEKATA'!$P$3:$P$498,"=329")</f>
        <v>0</v>
      </c>
      <c r="G14" s="138">
        <f>SUMIFS('Plan rashoda za unos u SAP'!$I$3:$I$501,'Plan rashoda za unos u SAP'!$C$3:$C$501,"=31",'Plan rashoda za unos u SAP'!$M$3:$M$501,"=329")+SUMIFS('ANALITIKA EU PROJEKATA'!$G$3:$G$498,'ANALITIKA EU PROJEKATA'!$A$3:$A$498,"=31",'ANALITIKA EU PROJEKATA'!$P$3:$P$498,"=329")</f>
        <v>87500</v>
      </c>
      <c r="H14" s="138">
        <f>SUMIFS('Plan rashoda za unos u SAP'!$I$3:$I$501,'Plan rashoda za unos u SAP'!$C$3:$C$501,"=41",'Plan rashoda za unos u SAP'!$M$3:$M$501,"=329")+SUMIFS('ANALITIKA EU PROJEKATA'!$G$3:$G$498,'ANALITIKA EU PROJEKATA'!$A$3:$A$498,"=41",'ANALITIKA EU PROJEKATA'!$P$3:$P$498,"=329")</f>
        <v>0</v>
      </c>
      <c r="I14" s="138">
        <f>SUMIFS('Plan rashoda za unos u SAP'!$I$3:$I$501,'Plan rashoda za unos u SAP'!$C$3:$C$501,"=43",'Plan rashoda za unos u SAP'!$M$3:$M$501,"=329")+SUMIFS('ANALITIKA EU PROJEKATA'!$G$3:$G$498,'ANALITIKA EU PROJEKATA'!$A$3:$A$498,"=43",'ANALITIKA EU PROJEKATA'!$P$3:$P$498,"=329")</f>
        <v>16385</v>
      </c>
      <c r="J14" s="138">
        <f>SUMIFS('Plan rashoda za unos u SAP'!$I$3:$I$501,'Plan rashoda za unos u SAP'!$C$3:$C$501,"=51",'Plan rashoda za unos u SAP'!$M$3:$M$501,"=329")+SUMIFS('ANALITIKA EU PROJEKATA'!$G$3:$G$498,'ANALITIKA EU PROJEKATA'!$A$3:$A$498,"=51",'ANALITIKA EU PROJEKATA'!$P$3:$P$498,"=329")</f>
        <v>0</v>
      </c>
      <c r="K14" s="138">
        <f>SUMIFS('Plan rashoda za unos u SAP'!$I$3:$I$501,'Plan rashoda za unos u SAP'!$C$3:$C$501,"=52",'Plan rashoda za unos u SAP'!$M$3:$M$501,"=329")+SUMIFS('ANALITIKA EU PROJEKATA'!$G$3:$G$498,'ANALITIKA EU PROJEKATA'!$A$3:$A$498,"=52",'ANALITIKA EU PROJEKATA'!$P$3:$P$498,"=329")</f>
        <v>6695</v>
      </c>
      <c r="L14" s="138">
        <f>SUMIFS('Plan rashoda za unos u SAP'!$I$3:$I$501,'Plan rashoda za unos u SAP'!$C$3:$C$501,"=552",'Plan rashoda za unos u SAP'!$M$3:$M$501,"=329")+SUMIFS('ANALITIKA EU PROJEKATA'!$G$3:$G$498,'ANALITIKA EU PROJEKATA'!$A$3:$A$498,"=552",'ANALITIKA EU PROJEKATA'!$P$3:$P$498,"=329")</f>
        <v>0</v>
      </c>
      <c r="M14" s="138">
        <f>SUMIFS('Plan rashoda za unos u SAP'!$I$3:$I$501,'Plan rashoda za unos u SAP'!$C$3:$C$501,"=559",'Plan rashoda za unos u SAP'!$M$3:$M$501,"=329")+SUMIFS('ANALITIKA EU PROJEKATA'!$G$3:$G$498,'ANALITIKA EU PROJEKATA'!$A$3:$A$498,"=559",'ANALITIKA EU PROJEKATA'!$P$3:$P$498,"=329")</f>
        <v>0</v>
      </c>
      <c r="N14" s="138">
        <f>SUMIFS('Plan rashoda za unos u SAP'!$I$3:$I$501,'Plan rashoda za unos u SAP'!$C$3:$C$501,"=561",'Plan rashoda za unos u SAP'!$M$3:$M$501,"=329")+SUMIFS('ANALITIKA EU PROJEKATA'!$G$3:$G$498,'ANALITIKA EU PROJEKATA'!$A$3:$A$498,"=561",'ANALITIKA EU PROJEKATA'!$P$3:$P$498,"=329")</f>
        <v>18082</v>
      </c>
      <c r="O14" s="138">
        <f>SUMIFS('Plan rashoda za unos u SAP'!$I$3:$I$501,'Plan rashoda za unos u SAP'!$C$3:$C$501,"=563",'Plan rashoda za unos u SAP'!$M$3:$M$501,"=329")+SUMIFS('ANALITIKA EU PROJEKATA'!$G$3:$G$498,'ANALITIKA EU PROJEKATA'!$A$3:$A$498,"=563",'ANALITIKA EU PROJEKATA'!$P$3:$P$498,"=329")</f>
        <v>0</v>
      </c>
      <c r="P14" s="138">
        <f>SUMIFS('Plan rashoda za unos u SAP'!$I$3:$I$501,'Plan rashoda za unos u SAP'!$C$3:$C$501,"=573",'Plan rashoda za unos u SAP'!$M$3:$M$501,"=329")+SUMIFS('ANALITIKA EU PROJEKATA'!$G$3:$G$498,'ANALITIKA EU PROJEKATA'!$A$3:$A$498,"=573",'ANALITIKA EU PROJEKATA'!$P$3:$P$498,"=329")</f>
        <v>0</v>
      </c>
      <c r="Q14" s="138">
        <f>SUMIFS('Plan rashoda za unos u SAP'!$I$3:$I$501,'Plan rashoda za unos u SAP'!$C$3:$C$501,"=575",'Plan rashoda za unos u SAP'!$M$3:$M$501,"=329")+SUMIFS('ANALITIKA EU PROJEKATA'!$G$3:$G$498,'ANALITIKA EU PROJEKATA'!$A$3:$A$498,"=575",'ANALITIKA EU PROJEKATA'!$P$3:$P$498,"=329")</f>
        <v>0</v>
      </c>
      <c r="R14" s="138">
        <f>SUMIFS('Plan rashoda za unos u SAP'!$I$3:$I$501,'Plan rashoda za unos u SAP'!$C$3:$C$501,"=576",'Plan rashoda za unos u SAP'!$M$3:$M$501,"=329")+SUMIFS('ANALITIKA EU PROJEKATA'!$G$3:$G$498,'ANALITIKA EU PROJEKATA'!$A$3:$A$498,"=576",'ANALITIKA EU PROJEKATA'!$P$3:$P$498,"=329")</f>
        <v>0</v>
      </c>
      <c r="S14" s="138">
        <f>SUMIFS('Plan rashoda za unos u SAP'!$I$3:$I$501,'Plan rashoda za unos u SAP'!$C$3:$C$501,"=581",'Plan rashoda za unos u SAP'!$M$3:$M$501,"=329")+SUMIFS('ANALITIKA EU PROJEKATA'!$G$3:$G$498,'ANALITIKA EU PROJEKATA'!$A$3:$A$498,"=581",'ANALITIKA EU PROJEKATA'!$P$3:$P$498,"=329")</f>
        <v>0</v>
      </c>
      <c r="T14" s="138">
        <f>SUMIFS('Plan rashoda za unos u SAP'!$I$3:$I$501,'Plan rashoda za unos u SAP'!$C$3:$C$501,"=61",'Plan rashoda za unos u SAP'!$M$3:$M$501,"=329")+SUMIFS('ANALITIKA EU PROJEKATA'!$G$3:$G$498,'ANALITIKA EU PROJEKATA'!$A$3:$A$498,"=61",'ANALITIKA EU PROJEKATA'!$P$3:$P$498,"=329")</f>
        <v>0</v>
      </c>
      <c r="U14" s="138">
        <f>SUMIFS('Plan rashoda za unos u SAP'!$I$3:$I$501,'Plan rashoda za unos u SAP'!$C$3:$C$501,"=63",'Plan rashoda za unos u SAP'!$M$3:$M$501,"=329")+SUMIFS('ANALITIKA EU PROJEKATA'!$G$3:$G$498,'ANALITIKA EU PROJEKATA'!$A$3:$A$498,"=63",'ANALITIKA EU PROJEKATA'!$P$3:$P$498,"=329")</f>
        <v>0</v>
      </c>
      <c r="V14" s="138">
        <f>SUMIFS('Plan rashoda za unos u SAP'!$I$3:$I$501,'Plan rashoda za unos u SAP'!$C$3:$C$501,"=71",'Plan rashoda za unos u SAP'!$M$3:$M$501,"=329")+SUMIFS('ANALITIKA EU PROJEKATA'!$G$3:$G$498,'ANALITIKA EU PROJEKATA'!$A$3:$A$498,"=71",'ANALITIKA EU PROJEKATA'!$P$3:$P$498,"=329")</f>
        <v>0</v>
      </c>
      <c r="W14" s="138">
        <f>SUMIFS('Plan rashoda za unos u SAP'!$I$3:$I$501,'Plan rashoda za unos u SAP'!$C$3:$C$501,"=81",'Plan rashoda za unos u SAP'!$M$3:$M$501,"=329")+SUMIFS('ANALITIKA EU PROJEKATA'!$G$3:$G$498,'ANALITIKA EU PROJEKATA'!$A$3:$A$498,"=81",'ANALITIKA EU PROJEKATA'!$P$3:$P$498,"=329")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31500</v>
      </c>
      <c r="E15" s="4">
        <f t="shared" ref="E15:W15" si="5">SUM(E16:E18)</f>
        <v>27000</v>
      </c>
      <c r="F15" s="4">
        <f t="shared" si="5"/>
        <v>0</v>
      </c>
      <c r="G15" s="4">
        <f t="shared" si="5"/>
        <v>2000</v>
      </c>
      <c r="H15" s="4">
        <f>SUM(H16:H18)</f>
        <v>0</v>
      </c>
      <c r="I15" s="4">
        <f t="shared" si="5"/>
        <v>1000</v>
      </c>
      <c r="J15" s="4">
        <f t="shared" si="5"/>
        <v>0</v>
      </c>
      <c r="K15" s="4">
        <f t="shared" si="5"/>
        <v>1500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PROJEKATA'!$G$3:$G$498,'ANALITIKA EU PROJEKATA'!$A$3:$A$498,"=11",'ANALITIKA EU PROJEKATA'!$P$3:$P$498,"=341")</f>
        <v>0</v>
      </c>
      <c r="F16" s="138">
        <f>SUMIFS('Plan rashoda za unos u SAP'!$I$3:$I$501,'Plan rashoda za unos u SAP'!$C$3:$C$501,"=12",'Plan rashoda za unos u SAP'!$M$3:$M$501,"=341")+SUMIFS('ANALITIKA EU PROJEKATA'!$G$3:$G$498,'ANALITIKA EU PROJEKATA'!$A$3:$A$498,"=12",'ANALITIKA EU PROJEKATA'!$P$3:$P$498,"=341")</f>
        <v>0</v>
      </c>
      <c r="G16" s="138">
        <f>SUMIFS('Plan rashoda za unos u SAP'!$I$3:$I$501,'Plan rashoda za unos u SAP'!$C$3:$C$501,"=31",'Plan rashoda za unos u SAP'!$M$3:$M$501,"=341")+SUMIFS('ANALITIKA EU PROJEKATA'!$G$3:$G$498,'ANALITIKA EU PROJEKATA'!$A$3:$A$498,"=31",'ANALITIKA EU PROJEKATA'!$P$3:$P$498,"=341")</f>
        <v>0</v>
      </c>
      <c r="H16" s="138">
        <f>SUMIFS('Plan rashoda za unos u SAP'!$I$3:$I$501,'Plan rashoda za unos u SAP'!$C$3:$C$501,"=41",'Plan rashoda za unos u SAP'!$M$3:$M$501,"=341")+SUMIFS('ANALITIKA EU PROJEKATA'!$G$3:$G$498,'ANALITIKA EU PROJEKATA'!$A$3:$A$498,"=41",'ANALITIKA EU PROJEKATA'!$P$3:$P$498,"=341")</f>
        <v>0</v>
      </c>
      <c r="I16" s="138">
        <f>SUMIFS('Plan rashoda za unos u SAP'!$I$3:$I$501,'Plan rashoda za unos u SAP'!$C$3:$C$501,"=43",'Plan rashoda za unos u SAP'!$M$3:$M$501,"=341")+SUMIFS('ANALITIKA EU PROJEKATA'!$G$3:$G$498,'ANALITIKA EU PROJEKATA'!$A$3:$A$498,"=43",'ANALITIKA EU PROJEKATA'!$P$3:$P$498,"=341")</f>
        <v>0</v>
      </c>
      <c r="J16" s="138">
        <f>SUMIFS('Plan rashoda za unos u SAP'!$I$3:$I$501,'Plan rashoda za unos u SAP'!$C$3:$C$501,"=51",'Plan rashoda za unos u SAP'!$M$3:$M$501,"=341")+SUMIFS('ANALITIKA EU PROJEKATA'!$G$3:$G$498,'ANALITIKA EU PROJEKATA'!$A$3:$A$498,"=51",'ANALITIKA EU PROJEKATA'!$P$3:$P$498,"=341")</f>
        <v>0</v>
      </c>
      <c r="K16" s="138">
        <f>SUMIFS('Plan rashoda za unos u SAP'!$I$3:$I$501,'Plan rashoda za unos u SAP'!$C$3:$C$501,"=52",'Plan rashoda za unos u SAP'!$M$3:$M$501,"=341")+SUMIFS('ANALITIKA EU PROJEKATA'!$G$3:$G$498,'ANALITIKA EU PROJEKATA'!$A$3:$A$498,"=52",'ANALITIKA EU PROJEKATA'!$P$3:$P$498,"=341")</f>
        <v>0</v>
      </c>
      <c r="L16" s="138">
        <f>SUMIFS('Plan rashoda za unos u SAP'!$I$3:$I$501,'Plan rashoda za unos u SAP'!$C$3:$C$501,"=552",'Plan rashoda za unos u SAP'!$M$3:$M$501,"=341")+SUMIFS('ANALITIKA EU PROJEKATA'!$G$3:$G$498,'ANALITIKA EU PROJEKATA'!$A$3:$A$498,"=552",'ANALITIKA EU PROJEKATA'!$P$3:$P$498,"=341")</f>
        <v>0</v>
      </c>
      <c r="M16" s="138">
        <f>SUMIFS('Plan rashoda za unos u SAP'!$I$3:$I$501,'Plan rashoda za unos u SAP'!$C$3:$C$501,"=559",'Plan rashoda za unos u SAP'!$M$3:$M$501,"=341")+SUMIFS('ANALITIKA EU PROJEKATA'!$G$3:$G$498,'ANALITIKA EU PROJEKATA'!$A$3:$A$498,"=559",'ANALITIKA EU PROJEKATA'!$P$3:$P$498,"=341")</f>
        <v>0</v>
      </c>
      <c r="N16" s="138">
        <f>SUMIFS('Plan rashoda za unos u SAP'!$I$3:$I$501,'Plan rashoda za unos u SAP'!$C$3:$C$501,"=561",'Plan rashoda za unos u SAP'!$M$3:$M$501,"=341")+SUMIFS('ANALITIKA EU PROJEKATA'!$G$3:$G$498,'ANALITIKA EU PROJEKATA'!$A$3:$A$498,"=561",'ANALITIKA EU PROJEKATA'!$P$3:$P$498,"=341")</f>
        <v>0</v>
      </c>
      <c r="O16" s="138">
        <f>SUMIFS('Plan rashoda za unos u SAP'!$I$3:$I$501,'Plan rashoda za unos u SAP'!$C$3:$C$501,"=563",'Plan rashoda za unos u SAP'!$M$3:$M$501,"=341")+SUMIFS('ANALITIKA EU PROJEKATA'!$G$3:$G$498,'ANALITIKA EU PROJEKATA'!$A$3:$A$498,"=563",'ANALITIKA EU PROJEKATA'!$P$3:$P$498,"=341")</f>
        <v>0</v>
      </c>
      <c r="P16" s="138">
        <f>SUMIFS('Plan rashoda za unos u SAP'!$I$3:$I$501,'Plan rashoda za unos u SAP'!$C$3:$C$501,"=573",'Plan rashoda za unos u SAP'!$M$3:$M$501,"=341")+SUMIFS('ANALITIKA EU PROJEKATA'!$G$3:$G$498,'ANALITIKA EU PROJEKATA'!$A$3:$A$498,"=573",'ANALITIKA EU PROJEKATA'!$P$3:$P$498,"=341")</f>
        <v>0</v>
      </c>
      <c r="Q16" s="138">
        <f>SUMIFS('Plan rashoda za unos u SAP'!$I$3:$I$501,'Plan rashoda za unos u SAP'!$C$3:$C$501,"=575",'Plan rashoda za unos u SAP'!$M$3:$M$501,"=341")+SUMIFS('ANALITIKA EU PROJEKATA'!$G$3:$G$498,'ANALITIKA EU PROJEKATA'!$A$3:$A$498,"=575",'ANALITIKA EU PROJEKATA'!$P$3:$P$498,"=341")</f>
        <v>0</v>
      </c>
      <c r="R16" s="138">
        <f>SUMIFS('Plan rashoda za unos u SAP'!$I$3:$I$501,'Plan rashoda za unos u SAP'!$C$3:$C$501,"=576",'Plan rashoda za unos u SAP'!$M$3:$M$501,"=341")+SUMIFS('ANALITIKA EU PROJEKATA'!$G$3:$G$498,'ANALITIKA EU PROJEKATA'!$A$3:$A$498,"=576",'ANALITIKA EU PROJEKATA'!$P$3:$P$498,"=341")</f>
        <v>0</v>
      </c>
      <c r="S16" s="138">
        <f>SUMIFS('Plan rashoda za unos u SAP'!$I$3:$I$501,'Plan rashoda za unos u SAP'!$C$3:$C$501,"=581",'Plan rashoda za unos u SAP'!$M$3:$M$501,"=341")+SUMIFS('ANALITIKA EU PROJEKATA'!$G$3:$G$498,'ANALITIKA EU PROJEKATA'!$A$3:$A$498,"=581",'ANALITIKA EU PROJEKATA'!$P$3:$P$498,"=341")</f>
        <v>0</v>
      </c>
      <c r="T16" s="138">
        <f>SUMIFS('Plan rashoda za unos u SAP'!$I$3:$I$501,'Plan rashoda za unos u SAP'!$C$3:$C$501,"=61",'Plan rashoda za unos u SAP'!$M$3:$M$501,"=341")+SUMIFS('ANALITIKA EU PROJEKATA'!$G$3:$G$498,'ANALITIKA EU PROJEKATA'!$A$3:$A$498,"=61",'ANALITIKA EU PROJEKATA'!$P$3:$P$498,"=341")</f>
        <v>0</v>
      </c>
      <c r="U16" s="138">
        <f>SUMIFS('Plan rashoda za unos u SAP'!$I$3:$I$501,'Plan rashoda za unos u SAP'!$C$3:$C$501,"=63",'Plan rashoda za unos u SAP'!$M$3:$M$501,"=341")+SUMIFS('ANALITIKA EU PROJEKATA'!$G$3:$G$498,'ANALITIKA EU PROJEKATA'!$A$3:$A$498,"=63",'ANALITIKA EU PROJEKATA'!$P$3:$P$498,"=341")</f>
        <v>0</v>
      </c>
      <c r="V16" s="138">
        <f>SUMIFS('Plan rashoda za unos u SAP'!$I$3:$I$501,'Plan rashoda za unos u SAP'!$C$3:$C$501,"=71",'Plan rashoda za unos u SAP'!$M$3:$M$501,"=341")+SUMIFS('ANALITIKA EU PROJEKATA'!$G$3:$G$498,'ANALITIKA EU PROJEKATA'!$A$3:$A$498,"=71",'ANALITIKA EU PROJEKATA'!$P$3:$P$498,"=341")</f>
        <v>0</v>
      </c>
      <c r="W16" s="138">
        <f>SUMIFS('Plan rashoda za unos u SAP'!$I$3:$I$501,'Plan rashoda za unos u SAP'!$C$3:$C$501,"=81",'Plan rashoda za unos u SAP'!$M$3:$M$501,"=341")+SUMIFS('ANALITIKA EU PROJEKATA'!$G$3:$G$498,'ANALITIKA EU PROJEKATA'!$A$3:$A$498,"=81",'ANALITIKA EU PROJEKATA'!$P$3:$P$498,"=341")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PROJEKATA'!$G$3:$G$498,'ANALITIKA EU PROJEKATA'!$A$3:$A$498,"=11",'ANALITIKA EU PROJEKATA'!$P$3:$P$498,"=342")</f>
        <v>0</v>
      </c>
      <c r="F17" s="138">
        <f>SUMIFS('Plan rashoda za unos u SAP'!$I$3:$I$501,'Plan rashoda za unos u SAP'!$C$3:$C$501,"=12",'Plan rashoda za unos u SAP'!$M$3:$M$501,"=342")+SUMIFS('ANALITIKA EU PROJEKATA'!$G$3:$G$498,'ANALITIKA EU PROJEKATA'!$A$3:$A$498,"=12",'ANALITIKA EU PROJEKATA'!$P$3:$P$498,"=342")</f>
        <v>0</v>
      </c>
      <c r="G17" s="138">
        <f>SUMIFS('Plan rashoda za unos u SAP'!$I$3:$I$501,'Plan rashoda za unos u SAP'!$C$3:$C$501,"=31",'Plan rashoda za unos u SAP'!$M$3:$M$501,"=342")+SUMIFS('ANALITIKA EU PROJEKATA'!$G$3:$G$498,'ANALITIKA EU PROJEKATA'!$A$3:$A$498,"=31",'ANALITIKA EU PROJEKATA'!$P$3:$P$498,"=342")</f>
        <v>0</v>
      </c>
      <c r="H17" s="138">
        <f>SUMIFS('Plan rashoda za unos u SAP'!$I$3:$I$501,'Plan rashoda za unos u SAP'!$C$3:$C$501,"=41",'Plan rashoda za unos u SAP'!$M$3:$M$501,"=342")+SUMIFS('ANALITIKA EU PROJEKATA'!$G$3:$G$498,'ANALITIKA EU PROJEKATA'!$A$3:$A$498,"=41",'ANALITIKA EU PROJEKATA'!$P$3:$P$498,"=342")</f>
        <v>0</v>
      </c>
      <c r="I17" s="138">
        <f>SUMIFS('Plan rashoda za unos u SAP'!$I$3:$I$501,'Plan rashoda za unos u SAP'!$C$3:$C$501,"=43",'Plan rashoda za unos u SAP'!$M$3:$M$501,"=342")+SUMIFS('ANALITIKA EU PROJEKATA'!$G$3:$G$498,'ANALITIKA EU PROJEKATA'!$A$3:$A$498,"=43",'ANALITIKA EU PROJEKATA'!$P$3:$P$498,"=342")</f>
        <v>0</v>
      </c>
      <c r="J17" s="138">
        <f>SUMIFS('Plan rashoda za unos u SAP'!$I$3:$I$501,'Plan rashoda za unos u SAP'!$C$3:$C$501,"=51",'Plan rashoda za unos u SAP'!$M$3:$M$501,"=342")+SUMIFS('ANALITIKA EU PROJEKATA'!$G$3:$G$498,'ANALITIKA EU PROJEKATA'!$A$3:$A$498,"=51",'ANALITIKA EU PROJEKATA'!$P$3:$P$498,"=342")</f>
        <v>0</v>
      </c>
      <c r="K17" s="138">
        <f>SUMIFS('Plan rashoda za unos u SAP'!$I$3:$I$501,'Plan rashoda za unos u SAP'!$C$3:$C$501,"=52",'Plan rashoda za unos u SAP'!$M$3:$M$501,"=342")+SUMIFS('ANALITIKA EU PROJEKATA'!$G$3:$G$498,'ANALITIKA EU PROJEKATA'!$A$3:$A$498,"=52",'ANALITIKA EU PROJEKATA'!$P$3:$P$498,"=342")</f>
        <v>0</v>
      </c>
      <c r="L17" s="138">
        <f>SUMIFS('Plan rashoda za unos u SAP'!$I$3:$I$501,'Plan rashoda za unos u SAP'!$C$3:$C$501,"=552",'Plan rashoda za unos u SAP'!$M$3:$M$501,"=342")+SUMIFS('ANALITIKA EU PROJEKATA'!$G$3:$G$498,'ANALITIKA EU PROJEKATA'!$A$3:$A$498,"=552",'ANALITIKA EU PROJEKATA'!$P$3:$P$498,"=342")</f>
        <v>0</v>
      </c>
      <c r="M17" s="138">
        <f>SUMIFS('Plan rashoda za unos u SAP'!$I$3:$I$501,'Plan rashoda za unos u SAP'!$C$3:$C$501,"=559",'Plan rashoda za unos u SAP'!$M$3:$M$501,"=342")+SUMIFS('ANALITIKA EU PROJEKATA'!$G$3:$G$498,'ANALITIKA EU PROJEKATA'!$A$3:$A$498,"=559",'ANALITIKA EU PROJEKATA'!$P$3:$P$498,"=342")</f>
        <v>0</v>
      </c>
      <c r="N17" s="138">
        <f>SUMIFS('Plan rashoda za unos u SAP'!$I$3:$I$501,'Plan rashoda za unos u SAP'!$C$3:$C$501,"=561",'Plan rashoda za unos u SAP'!$M$3:$M$501,"=342")+SUMIFS('ANALITIKA EU PROJEKATA'!$G$3:$G$498,'ANALITIKA EU PROJEKATA'!$A$3:$A$498,"=561",'ANALITIKA EU PROJEKATA'!$P$3:$P$498,"=342")</f>
        <v>0</v>
      </c>
      <c r="O17" s="138">
        <f>SUMIFS('Plan rashoda za unos u SAP'!$I$3:$I$501,'Plan rashoda za unos u SAP'!$C$3:$C$501,"=563",'Plan rashoda za unos u SAP'!$M$3:$M$501,"=342")+SUMIFS('ANALITIKA EU PROJEKATA'!$G$3:$G$498,'ANALITIKA EU PROJEKATA'!$A$3:$A$498,"=563",'ANALITIKA EU PROJEKATA'!$P$3:$P$498,"=342")</f>
        <v>0</v>
      </c>
      <c r="P17" s="138">
        <f>SUMIFS('Plan rashoda za unos u SAP'!$I$3:$I$501,'Plan rashoda za unos u SAP'!$C$3:$C$501,"=573",'Plan rashoda za unos u SAP'!$M$3:$M$501,"=342")+SUMIFS('ANALITIKA EU PROJEKATA'!$G$3:$G$498,'ANALITIKA EU PROJEKATA'!$A$3:$A$498,"=573",'ANALITIKA EU PROJEKATA'!$P$3:$P$498,"=342")</f>
        <v>0</v>
      </c>
      <c r="Q17" s="138">
        <f>SUMIFS('Plan rashoda za unos u SAP'!$I$3:$I$501,'Plan rashoda za unos u SAP'!$C$3:$C$501,"=575",'Plan rashoda za unos u SAP'!$M$3:$M$501,"=342")+SUMIFS('ANALITIKA EU PROJEKATA'!$G$3:$G$498,'ANALITIKA EU PROJEKATA'!$A$3:$A$498,"=575",'ANALITIKA EU PROJEKATA'!$P$3:$P$498,"=342")</f>
        <v>0</v>
      </c>
      <c r="R17" s="138">
        <f>SUMIFS('Plan rashoda za unos u SAP'!$I$3:$I$501,'Plan rashoda za unos u SAP'!$C$3:$C$501,"=576",'Plan rashoda za unos u SAP'!$M$3:$M$501,"=342")+SUMIFS('ANALITIKA EU PROJEKATA'!$G$3:$G$498,'ANALITIKA EU PROJEKATA'!$A$3:$A$498,"=576",'ANALITIKA EU PROJEKATA'!$P$3:$P$498,"=342")</f>
        <v>0</v>
      </c>
      <c r="S17" s="138">
        <f>SUMIFS('Plan rashoda za unos u SAP'!$I$3:$I$501,'Plan rashoda za unos u SAP'!$C$3:$C$501,"=581",'Plan rashoda za unos u SAP'!$M$3:$M$501,"=342")+SUMIFS('ANALITIKA EU PROJEKATA'!$G$3:$G$498,'ANALITIKA EU PROJEKATA'!$A$3:$A$498,"=581",'ANALITIKA EU PROJEKATA'!$P$3:$P$498,"=342")</f>
        <v>0</v>
      </c>
      <c r="T17" s="138">
        <f>SUMIFS('Plan rashoda za unos u SAP'!$I$3:$I$501,'Plan rashoda za unos u SAP'!$C$3:$C$501,"=61",'Plan rashoda za unos u SAP'!$M$3:$M$501,"=342")+SUMIFS('ANALITIKA EU PROJEKATA'!$G$3:$G$498,'ANALITIKA EU PROJEKATA'!$A$3:$A$498,"=61",'ANALITIKA EU PROJEKATA'!$P$3:$P$498,"=342")</f>
        <v>0</v>
      </c>
      <c r="U17" s="138">
        <f>SUMIFS('Plan rashoda za unos u SAP'!$I$3:$I$501,'Plan rashoda za unos u SAP'!$C$3:$C$501,"=63",'Plan rashoda za unos u SAP'!$M$3:$M$501,"=342")+SUMIFS('ANALITIKA EU PROJEKATA'!$G$3:$G$498,'ANALITIKA EU PROJEKATA'!$A$3:$A$498,"=63",'ANALITIKA EU PROJEKATA'!$P$3:$P$498,"=342")</f>
        <v>0</v>
      </c>
      <c r="V17" s="138">
        <f>SUMIFS('Plan rashoda za unos u SAP'!$I$3:$I$501,'Plan rashoda za unos u SAP'!$C$3:$C$501,"=71",'Plan rashoda za unos u SAP'!$M$3:$M$501,"=342")+SUMIFS('ANALITIKA EU PROJEKATA'!$G$3:$G$498,'ANALITIKA EU PROJEKATA'!$A$3:$A$498,"=71",'ANALITIKA EU PROJEKATA'!$P$3:$P$498,"=342")</f>
        <v>0</v>
      </c>
      <c r="W17" s="138">
        <f>SUMIFS('Plan rashoda za unos u SAP'!$I$3:$I$501,'Plan rashoda za unos u SAP'!$C$3:$C$501,"=81",'Plan rashoda za unos u SAP'!$M$3:$M$501,"=342")+SUMIFS('ANALITIKA EU PROJEKATA'!$G$3:$G$498,'ANALITIKA EU PROJEKATA'!$A$3:$A$498,"=81",'ANALITIKA EU PROJEKATA'!$P$3:$P$498,"=342")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31500</v>
      </c>
      <c r="E18" s="138">
        <f>SUMIFS('Plan rashoda za unos u SAP'!$I$3:$I$501,'Plan rashoda za unos u SAP'!$C$3:$C$501,"=11",'Plan rashoda za unos u SAP'!$M$3:$M$501,"=343")+SUMIFS('ANALITIKA EU PROJEKATA'!$G$3:$G$498,'ANALITIKA EU PROJEKATA'!$A$3:$A$498,"=11",'ANALITIKA EU PROJEKATA'!$P$3:$P$498,"=343")</f>
        <v>27000</v>
      </c>
      <c r="F18" s="138">
        <f>SUMIFS('Plan rashoda za unos u SAP'!$I$3:$I$501,'Plan rashoda za unos u SAP'!$C$3:$C$501,"=12",'Plan rashoda za unos u SAP'!$M$3:$M$501,"=343")+SUMIFS('ANALITIKA EU PROJEKATA'!$G$3:$G$498,'ANALITIKA EU PROJEKATA'!$A$3:$A$498,"=12",'ANALITIKA EU PROJEKATA'!$P$3:$P$498,"=343")</f>
        <v>0</v>
      </c>
      <c r="G18" s="138">
        <f>SUMIFS('Plan rashoda za unos u SAP'!$I$3:$I$501,'Plan rashoda za unos u SAP'!$C$3:$C$501,"=31",'Plan rashoda za unos u SAP'!$M$3:$M$501,"=343")+SUMIFS('ANALITIKA EU PROJEKATA'!$G$3:$G$498,'ANALITIKA EU PROJEKATA'!$A$3:$A$498,"=31",'ANALITIKA EU PROJEKATA'!$P$3:$P$498,"=343")</f>
        <v>2000</v>
      </c>
      <c r="H18" s="138">
        <f>SUMIFS('Plan rashoda za unos u SAP'!$I$3:$I$501,'Plan rashoda za unos u SAP'!$C$3:$C$501,"=41",'Plan rashoda za unos u SAP'!$M$3:$M$501,"=343")+SUMIFS('ANALITIKA EU PROJEKATA'!$G$3:$G$498,'ANALITIKA EU PROJEKATA'!$A$3:$A$498,"=41",'ANALITIKA EU PROJEKATA'!$P$3:$P$498,"=343")</f>
        <v>0</v>
      </c>
      <c r="I18" s="138">
        <f>SUMIFS('Plan rashoda za unos u SAP'!$I$3:$I$501,'Plan rashoda za unos u SAP'!$C$3:$C$501,"=43",'Plan rashoda za unos u SAP'!$M$3:$M$501,"=343")+SUMIFS('ANALITIKA EU PROJEKATA'!$G$3:$G$498,'ANALITIKA EU PROJEKATA'!$A$3:$A$498,"=43",'ANALITIKA EU PROJEKATA'!$P$3:$P$498,"=343")</f>
        <v>1000</v>
      </c>
      <c r="J18" s="138">
        <f>SUMIFS('Plan rashoda za unos u SAP'!$I$3:$I$501,'Plan rashoda za unos u SAP'!$C$3:$C$501,"=51",'Plan rashoda za unos u SAP'!$M$3:$M$501,"=343")+SUMIFS('ANALITIKA EU PROJEKATA'!$G$3:$G$498,'ANALITIKA EU PROJEKATA'!$A$3:$A$498,"=51",'ANALITIKA EU PROJEKATA'!$P$3:$P$498,"=343")</f>
        <v>0</v>
      </c>
      <c r="K18" s="138">
        <f>SUMIFS('Plan rashoda za unos u SAP'!$I$3:$I$501,'Plan rashoda za unos u SAP'!$C$3:$C$501,"=52",'Plan rashoda za unos u SAP'!$M$3:$M$501,"=343")+SUMIFS('ANALITIKA EU PROJEKATA'!$G$3:$G$498,'ANALITIKA EU PROJEKATA'!$A$3:$A$498,"=52",'ANALITIKA EU PROJEKATA'!$P$3:$P$498,"=343")</f>
        <v>1500</v>
      </c>
      <c r="L18" s="138">
        <f>SUMIFS('Plan rashoda za unos u SAP'!$I$3:$I$501,'Plan rashoda za unos u SAP'!$C$3:$C$501,"=552",'Plan rashoda za unos u SAP'!$M$3:$M$501,"=343")+SUMIFS('ANALITIKA EU PROJEKATA'!$G$3:$G$498,'ANALITIKA EU PROJEKATA'!$A$3:$A$498,"=552",'ANALITIKA EU PROJEKATA'!$P$3:$P$498,"=343")</f>
        <v>0</v>
      </c>
      <c r="M18" s="138">
        <f>SUMIFS('Plan rashoda za unos u SAP'!$I$3:$I$501,'Plan rashoda za unos u SAP'!$C$3:$C$501,"=559",'Plan rashoda za unos u SAP'!$M$3:$M$501,"=343")+SUMIFS('ANALITIKA EU PROJEKATA'!$G$3:$G$498,'ANALITIKA EU PROJEKATA'!$A$3:$A$498,"=559",'ANALITIKA EU PROJEKATA'!$P$3:$P$498,"=343")</f>
        <v>0</v>
      </c>
      <c r="N18" s="138">
        <f>SUMIFS('Plan rashoda za unos u SAP'!$I$3:$I$501,'Plan rashoda za unos u SAP'!$C$3:$C$501,"=561",'Plan rashoda za unos u SAP'!$M$3:$M$501,"=343")+SUMIFS('ANALITIKA EU PROJEKATA'!$G$3:$G$498,'ANALITIKA EU PROJEKATA'!$A$3:$A$498,"=561",'ANALITIKA EU PROJEKATA'!$P$3:$P$498,"=343")</f>
        <v>0</v>
      </c>
      <c r="O18" s="138">
        <f>SUMIFS('Plan rashoda za unos u SAP'!$I$3:$I$501,'Plan rashoda za unos u SAP'!$C$3:$C$501,"=563",'Plan rashoda za unos u SAP'!$M$3:$M$501,"=343")+SUMIFS('ANALITIKA EU PROJEKATA'!$G$3:$G$498,'ANALITIKA EU PROJEKATA'!$A$3:$A$498,"=563",'ANALITIKA EU PROJEKATA'!$P$3:$P$498,"=343")</f>
        <v>0</v>
      </c>
      <c r="P18" s="138">
        <f>SUMIFS('Plan rashoda za unos u SAP'!$I$3:$I$501,'Plan rashoda za unos u SAP'!$C$3:$C$501,"=573",'Plan rashoda za unos u SAP'!$M$3:$M$501,"=343")+SUMIFS('ANALITIKA EU PROJEKATA'!$G$3:$G$498,'ANALITIKA EU PROJEKATA'!$A$3:$A$498,"=573",'ANALITIKA EU PROJEKATA'!$P$3:$P$498,"=343")</f>
        <v>0</v>
      </c>
      <c r="Q18" s="138">
        <f>SUMIFS('Plan rashoda za unos u SAP'!$I$3:$I$501,'Plan rashoda za unos u SAP'!$C$3:$C$501,"=575",'Plan rashoda za unos u SAP'!$M$3:$M$501,"=343")+SUMIFS('ANALITIKA EU PROJEKATA'!$G$3:$G$498,'ANALITIKA EU PROJEKATA'!$A$3:$A$498,"=575",'ANALITIKA EU PROJEKATA'!$P$3:$P$498,"=343")</f>
        <v>0</v>
      </c>
      <c r="R18" s="138">
        <f>SUMIFS('Plan rashoda za unos u SAP'!$I$3:$I$501,'Plan rashoda za unos u SAP'!$C$3:$C$501,"=576",'Plan rashoda za unos u SAP'!$M$3:$M$501,"=343")+SUMIFS('ANALITIKA EU PROJEKATA'!$G$3:$G$498,'ANALITIKA EU PROJEKATA'!$A$3:$A$498,"=576",'ANALITIKA EU PROJEKATA'!$P$3:$P$498,"=343")</f>
        <v>0</v>
      </c>
      <c r="S18" s="138">
        <f>SUMIFS('Plan rashoda za unos u SAP'!$I$3:$I$501,'Plan rashoda za unos u SAP'!$C$3:$C$501,"=581",'Plan rashoda za unos u SAP'!$M$3:$M$501,"=343")+SUMIFS('ANALITIKA EU PROJEKATA'!$G$3:$G$498,'ANALITIKA EU PROJEKATA'!$A$3:$A$498,"=581",'ANALITIKA EU PROJEKATA'!$P$3:$P$498,"=343")</f>
        <v>0</v>
      </c>
      <c r="T18" s="138">
        <f>SUMIFS('Plan rashoda za unos u SAP'!$I$3:$I$501,'Plan rashoda za unos u SAP'!$C$3:$C$501,"=61",'Plan rashoda za unos u SAP'!$M$3:$M$501,"=343")+SUMIFS('ANALITIKA EU PROJEKATA'!$G$3:$G$498,'ANALITIKA EU PROJEKATA'!$A$3:$A$498,"=61",'ANALITIKA EU PROJEKATA'!$P$3:$P$498,"=343")</f>
        <v>0</v>
      </c>
      <c r="U18" s="138">
        <f>SUMIFS('Plan rashoda za unos u SAP'!$I$3:$I$501,'Plan rashoda za unos u SAP'!$C$3:$C$501,"=63",'Plan rashoda za unos u SAP'!$M$3:$M$501,"=343")+SUMIFS('ANALITIKA EU PROJEKATA'!$G$3:$G$498,'ANALITIKA EU PROJEKATA'!$A$3:$A$498,"=63",'ANALITIKA EU PROJEKATA'!$P$3:$P$498,"=343")</f>
        <v>0</v>
      </c>
      <c r="V18" s="138">
        <f>SUMIFS('Plan rashoda za unos u SAP'!$I$3:$I$501,'Plan rashoda za unos u SAP'!$C$3:$C$501,"=71",'Plan rashoda za unos u SAP'!$M$3:$M$501,"=343")+SUMIFS('ANALITIKA EU PROJEKATA'!$G$3:$G$498,'ANALITIKA EU PROJEKATA'!$A$3:$A$498,"=71",'ANALITIKA EU PROJEKATA'!$P$3:$P$498,"=343")</f>
        <v>0</v>
      </c>
      <c r="W18" s="138">
        <f>SUMIFS('Plan rashoda za unos u SAP'!$I$3:$I$501,'Plan rashoda za unos u SAP'!$C$3:$C$501,"=81",'Plan rashoda za unos u SAP'!$M$3:$M$501,"=343")+SUMIFS('ANALITIKA EU PROJEKATA'!$G$3:$G$498,'ANALITIKA EU PROJEKATA'!$A$3:$A$498,"=81",'ANALITIKA EU PROJEKATA'!$P$3:$P$498,"=343")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PROJEKATA'!$G$3:$G$498,'ANALITIKA EU PROJEKATA'!$A$3:$A$498,"=11",'ANALITIKA EU PROJEKATA'!$P$3:$P$498,"=351")</f>
        <v>0</v>
      </c>
      <c r="F20" s="138">
        <f>SUMIFS('Plan rashoda za unos u SAP'!$I$3:$I$501,'Plan rashoda za unos u SAP'!$C$3:$C$501,"=12",'Plan rashoda za unos u SAP'!$M$3:$M$501,"=351")+SUMIFS('ANALITIKA EU PROJEKATA'!$G$3:$G$498,'ANALITIKA EU PROJEKATA'!$A$3:$A$498,"=12",'ANALITIKA EU PROJEKATA'!$P$3:$P$498,"=351")</f>
        <v>0</v>
      </c>
      <c r="G20" s="138">
        <f>SUMIFS('Plan rashoda za unos u SAP'!$I$3:$I$501,'Plan rashoda za unos u SAP'!$C$3:$C$501,"=31",'Plan rashoda za unos u SAP'!$M$3:$M$501,"=351")+SUMIFS('ANALITIKA EU PROJEKATA'!$G$3:$G$498,'ANALITIKA EU PROJEKATA'!$A$3:$A$498,"=31",'ANALITIKA EU PROJEKATA'!$P$3:$P$498,"=351")</f>
        <v>0</v>
      </c>
      <c r="H20" s="138">
        <f>SUMIFS('Plan rashoda za unos u SAP'!$I$3:$I$501,'Plan rashoda za unos u SAP'!$C$3:$C$501,"=41",'Plan rashoda za unos u SAP'!$M$3:$M$501,"=351")+SUMIFS('ANALITIKA EU PROJEKATA'!$G$3:$G$498,'ANALITIKA EU PROJEKATA'!$A$3:$A$498,"=41",'ANALITIKA EU PROJEKATA'!$P$3:$P$498,"=351")</f>
        <v>0</v>
      </c>
      <c r="I20" s="138">
        <f>SUMIFS('Plan rashoda za unos u SAP'!$I$3:$I$501,'Plan rashoda za unos u SAP'!$C$3:$C$501,"=43",'Plan rashoda za unos u SAP'!$M$3:$M$501,"=351")+SUMIFS('ANALITIKA EU PROJEKATA'!$G$3:$G$498,'ANALITIKA EU PROJEKATA'!$A$3:$A$498,"=43",'ANALITIKA EU PROJEKATA'!$P$3:$P$498,"=351")</f>
        <v>0</v>
      </c>
      <c r="J20" s="138">
        <f>SUMIFS('Plan rashoda za unos u SAP'!$I$3:$I$501,'Plan rashoda za unos u SAP'!$C$3:$C$501,"=51",'Plan rashoda za unos u SAP'!$M$3:$M$501,"=351")+SUMIFS('ANALITIKA EU PROJEKATA'!$G$3:$G$498,'ANALITIKA EU PROJEKATA'!$A$3:$A$498,"=51",'ANALITIKA EU PROJEKATA'!$P$3:$P$498,"=351")</f>
        <v>0</v>
      </c>
      <c r="K20" s="138">
        <f>SUMIFS('Plan rashoda za unos u SAP'!$I$3:$I$501,'Plan rashoda za unos u SAP'!$C$3:$C$501,"=52",'Plan rashoda za unos u SAP'!$M$3:$M$501,"=351")+SUMIFS('ANALITIKA EU PROJEKATA'!$G$3:$G$498,'ANALITIKA EU PROJEKATA'!$A$3:$A$498,"=52",'ANALITIKA EU PROJEKATA'!$P$3:$P$498,"=351")</f>
        <v>0</v>
      </c>
      <c r="L20" s="138">
        <f>SUMIFS('Plan rashoda za unos u SAP'!$I$3:$I$501,'Plan rashoda za unos u SAP'!$C$3:$C$501,"=552",'Plan rashoda za unos u SAP'!$M$3:$M$501,"=351")+SUMIFS('ANALITIKA EU PROJEKATA'!$G$3:$G$498,'ANALITIKA EU PROJEKATA'!$A$3:$A$498,"=552",'ANALITIKA EU PROJEKATA'!$P$3:$P$498,"=351")</f>
        <v>0</v>
      </c>
      <c r="M20" s="138">
        <f>SUMIFS('Plan rashoda za unos u SAP'!$I$3:$I$501,'Plan rashoda za unos u SAP'!$C$3:$C$501,"=559",'Plan rashoda za unos u SAP'!$M$3:$M$501,"=351")+SUMIFS('ANALITIKA EU PROJEKATA'!$G$3:$G$498,'ANALITIKA EU PROJEKATA'!$A$3:$A$498,"=559",'ANALITIKA EU PROJEKATA'!$P$3:$P$498,"=351")</f>
        <v>0</v>
      </c>
      <c r="N20" s="138">
        <f>SUMIFS('Plan rashoda za unos u SAP'!$I$3:$I$501,'Plan rashoda za unos u SAP'!$C$3:$C$501,"=561",'Plan rashoda za unos u SAP'!$M$3:$M$501,"=351")+SUMIFS('ANALITIKA EU PROJEKATA'!$G$3:$G$498,'ANALITIKA EU PROJEKATA'!$A$3:$A$498,"=561",'ANALITIKA EU PROJEKATA'!$P$3:$P$498,"=351")</f>
        <v>0</v>
      </c>
      <c r="O20" s="138">
        <f>SUMIFS('Plan rashoda za unos u SAP'!$I$3:$I$501,'Plan rashoda za unos u SAP'!$C$3:$C$501,"=563",'Plan rashoda za unos u SAP'!$M$3:$M$501,"=351")+SUMIFS('ANALITIKA EU PROJEKATA'!$G$3:$G$498,'ANALITIKA EU PROJEKATA'!$A$3:$A$498,"=563",'ANALITIKA EU PROJEKATA'!$P$3:$P$498,"=351")</f>
        <v>0</v>
      </c>
      <c r="P20" s="138">
        <f>SUMIFS('Plan rashoda za unos u SAP'!$I$3:$I$501,'Plan rashoda za unos u SAP'!$C$3:$C$501,"=573",'Plan rashoda za unos u SAP'!$M$3:$M$501,"=351")+SUMIFS('ANALITIKA EU PROJEKATA'!$G$3:$G$498,'ANALITIKA EU PROJEKATA'!$A$3:$A$498,"=573",'ANALITIKA EU PROJEKATA'!$P$3:$P$498,"=351")</f>
        <v>0</v>
      </c>
      <c r="Q20" s="138">
        <f>SUMIFS('Plan rashoda za unos u SAP'!$I$3:$I$501,'Plan rashoda za unos u SAP'!$C$3:$C$501,"=575",'Plan rashoda za unos u SAP'!$M$3:$M$501,"=351")+SUMIFS('ANALITIKA EU PROJEKATA'!$G$3:$G$498,'ANALITIKA EU PROJEKATA'!$A$3:$A$498,"=575",'ANALITIKA EU PROJEKATA'!$P$3:$P$498,"=351")</f>
        <v>0</v>
      </c>
      <c r="R20" s="138">
        <f>SUMIFS('Plan rashoda za unos u SAP'!$I$3:$I$501,'Plan rashoda za unos u SAP'!$C$3:$C$501,"=576",'Plan rashoda za unos u SAP'!$M$3:$M$501,"=351")+SUMIFS('ANALITIKA EU PROJEKATA'!$G$3:$G$498,'ANALITIKA EU PROJEKATA'!$A$3:$A$498,"=576",'ANALITIKA EU PROJEKATA'!$P$3:$P$498,"=351")</f>
        <v>0</v>
      </c>
      <c r="S20" s="138">
        <f>SUMIFS('Plan rashoda za unos u SAP'!$I$3:$I$501,'Plan rashoda za unos u SAP'!$C$3:$C$501,"=581",'Plan rashoda za unos u SAP'!$M$3:$M$501,"=351")+SUMIFS('ANALITIKA EU PROJEKATA'!$G$3:$G$498,'ANALITIKA EU PROJEKATA'!$A$3:$A$498,"=581",'ANALITIKA EU PROJEKATA'!$P$3:$P$498,"=351")</f>
        <v>0</v>
      </c>
      <c r="T20" s="138">
        <f>SUMIFS('Plan rashoda za unos u SAP'!$I$3:$I$501,'Plan rashoda za unos u SAP'!$C$3:$C$501,"=61",'Plan rashoda za unos u SAP'!$M$3:$M$501,"=351")+SUMIFS('ANALITIKA EU PROJEKATA'!$G$3:$G$498,'ANALITIKA EU PROJEKATA'!$A$3:$A$498,"=61",'ANALITIKA EU PROJEKATA'!$P$3:$P$498,"=351")</f>
        <v>0</v>
      </c>
      <c r="U20" s="138">
        <f>SUMIFS('Plan rashoda za unos u SAP'!$I$3:$I$501,'Plan rashoda za unos u SAP'!$C$3:$C$501,"=63",'Plan rashoda za unos u SAP'!$M$3:$M$501,"=351")+SUMIFS('ANALITIKA EU PROJEKATA'!$G$3:$G$498,'ANALITIKA EU PROJEKATA'!$A$3:$A$498,"=63",'ANALITIKA EU PROJEKATA'!$P$3:$P$498,"=351")</f>
        <v>0</v>
      </c>
      <c r="V20" s="138">
        <f>SUMIFS('Plan rashoda za unos u SAP'!$I$3:$I$501,'Plan rashoda za unos u SAP'!$C$3:$C$501,"=71",'Plan rashoda za unos u SAP'!$M$3:$M$501,"=351")+SUMIFS('ANALITIKA EU PROJEKATA'!$G$3:$G$498,'ANALITIKA EU PROJEKATA'!$A$3:$A$498,"=71",'ANALITIKA EU PROJEKATA'!$P$3:$P$498,"=351")</f>
        <v>0</v>
      </c>
      <c r="W20" s="138">
        <f>SUMIFS('Plan rashoda za unos u SAP'!$I$3:$I$501,'Plan rashoda za unos u SAP'!$C$3:$C$501,"=81",'Plan rashoda za unos u SAP'!$M$3:$M$501,"=351")+SUMIFS('ANALITIKA EU PROJEKATA'!$G$3:$G$498,'ANALITIKA EU PROJEKATA'!$A$3:$A$498,"=81",'ANALITIKA EU PROJEKATA'!$P$3:$P$498,"=351")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PROJEKATA'!$G$3:$G$498,'ANALITIKA EU PROJEKATA'!$A$3:$A$498,"=11",'ANALITIKA EU PROJEKATA'!$P$3:$P$498,"=352")</f>
        <v>0</v>
      </c>
      <c r="F21" s="138">
        <f>SUMIFS('Plan rashoda za unos u SAP'!$I$3:$I$501,'Plan rashoda za unos u SAP'!$C$3:$C$501,"=12",'Plan rashoda za unos u SAP'!$M$3:$M$501,"=352")+SUMIFS('ANALITIKA EU PROJEKATA'!$G$3:$G$498,'ANALITIKA EU PROJEKATA'!$A$3:$A$498,"=12",'ANALITIKA EU PROJEKATA'!$P$3:$P$498,"=352")</f>
        <v>0</v>
      </c>
      <c r="G21" s="138">
        <f>SUMIFS('Plan rashoda za unos u SAP'!$I$3:$I$501,'Plan rashoda za unos u SAP'!$C$3:$C$501,"=31",'Plan rashoda za unos u SAP'!$M$3:$M$501,"=352")+SUMIFS('ANALITIKA EU PROJEKATA'!$G$3:$G$498,'ANALITIKA EU PROJEKATA'!$A$3:$A$498,"=31",'ANALITIKA EU PROJEKATA'!$P$3:$P$498,"=352")</f>
        <v>0</v>
      </c>
      <c r="H21" s="138">
        <f>SUMIFS('Plan rashoda za unos u SAP'!$I$3:$I$501,'Plan rashoda za unos u SAP'!$C$3:$C$501,"=41",'Plan rashoda za unos u SAP'!$M$3:$M$501,"=352")+SUMIFS('ANALITIKA EU PROJEKATA'!$G$3:$G$498,'ANALITIKA EU PROJEKATA'!$A$3:$A$498,"=41",'ANALITIKA EU PROJEKATA'!$P$3:$P$498,"=352")</f>
        <v>0</v>
      </c>
      <c r="I21" s="138">
        <f>SUMIFS('Plan rashoda za unos u SAP'!$I$3:$I$501,'Plan rashoda za unos u SAP'!$C$3:$C$501,"=43",'Plan rashoda za unos u SAP'!$M$3:$M$501,"=352")+SUMIFS('ANALITIKA EU PROJEKATA'!$G$3:$G$498,'ANALITIKA EU PROJEKATA'!$A$3:$A$498,"=43",'ANALITIKA EU PROJEKATA'!$P$3:$P$498,"=352")</f>
        <v>0</v>
      </c>
      <c r="J21" s="138">
        <f>SUMIFS('Plan rashoda za unos u SAP'!$I$3:$I$501,'Plan rashoda za unos u SAP'!$C$3:$C$501,"=51",'Plan rashoda za unos u SAP'!$M$3:$M$501,"=352")+SUMIFS('ANALITIKA EU PROJEKATA'!$G$3:$G$498,'ANALITIKA EU PROJEKATA'!$A$3:$A$498,"=51",'ANALITIKA EU PROJEKATA'!$P$3:$P$498,"=352")</f>
        <v>0</v>
      </c>
      <c r="K21" s="138">
        <f>SUMIFS('Plan rashoda za unos u SAP'!$I$3:$I$501,'Plan rashoda za unos u SAP'!$C$3:$C$501,"=52",'Plan rashoda za unos u SAP'!$M$3:$M$501,"=352")+SUMIFS('ANALITIKA EU PROJEKATA'!$G$3:$G$498,'ANALITIKA EU PROJEKATA'!$A$3:$A$498,"=52",'ANALITIKA EU PROJEKATA'!$P$3:$P$498,"=352")</f>
        <v>0</v>
      </c>
      <c r="L21" s="138">
        <f>SUMIFS('Plan rashoda za unos u SAP'!$I$3:$I$501,'Plan rashoda za unos u SAP'!$C$3:$C$501,"=552",'Plan rashoda za unos u SAP'!$M$3:$M$501,"=352")+SUMIFS('ANALITIKA EU PROJEKATA'!$G$3:$G$498,'ANALITIKA EU PROJEKATA'!$A$3:$A$498,"=552",'ANALITIKA EU PROJEKATA'!$P$3:$P$498,"=352")</f>
        <v>0</v>
      </c>
      <c r="M21" s="138">
        <f>SUMIFS('Plan rashoda za unos u SAP'!$I$3:$I$501,'Plan rashoda za unos u SAP'!$C$3:$C$501,"=559",'Plan rashoda za unos u SAP'!$M$3:$M$501,"=352")+SUMIFS('ANALITIKA EU PROJEKATA'!$G$3:$G$498,'ANALITIKA EU PROJEKATA'!$A$3:$A$498,"=559",'ANALITIKA EU PROJEKATA'!$P$3:$P$498,"=352")</f>
        <v>0</v>
      </c>
      <c r="N21" s="138">
        <f>SUMIFS('Plan rashoda za unos u SAP'!$I$3:$I$501,'Plan rashoda za unos u SAP'!$C$3:$C$501,"=561",'Plan rashoda za unos u SAP'!$M$3:$M$501,"=352")+SUMIFS('ANALITIKA EU PROJEKATA'!$G$3:$G$498,'ANALITIKA EU PROJEKATA'!$A$3:$A$498,"=561",'ANALITIKA EU PROJEKATA'!$P$3:$P$498,"=352")</f>
        <v>0</v>
      </c>
      <c r="O21" s="138">
        <f>SUMIFS('Plan rashoda za unos u SAP'!$I$3:$I$501,'Plan rashoda za unos u SAP'!$C$3:$C$501,"=563",'Plan rashoda za unos u SAP'!$M$3:$M$501,"=352")+SUMIFS('ANALITIKA EU PROJEKATA'!$G$3:$G$498,'ANALITIKA EU PROJEKATA'!$A$3:$A$498,"=563",'ANALITIKA EU PROJEKATA'!$P$3:$P$498,"=352")</f>
        <v>0</v>
      </c>
      <c r="P21" s="138">
        <f>SUMIFS('Plan rashoda za unos u SAP'!$I$3:$I$501,'Plan rashoda za unos u SAP'!$C$3:$C$501,"=573",'Plan rashoda za unos u SAP'!$M$3:$M$501,"=352")+SUMIFS('ANALITIKA EU PROJEKATA'!$G$3:$G$498,'ANALITIKA EU PROJEKATA'!$A$3:$A$498,"=573",'ANALITIKA EU PROJEKATA'!$P$3:$P$498,"=352")</f>
        <v>0</v>
      </c>
      <c r="Q21" s="138">
        <f>SUMIFS('Plan rashoda za unos u SAP'!$I$3:$I$501,'Plan rashoda za unos u SAP'!$C$3:$C$501,"=575",'Plan rashoda za unos u SAP'!$M$3:$M$501,"=352")+SUMIFS('ANALITIKA EU PROJEKATA'!$G$3:$G$498,'ANALITIKA EU PROJEKATA'!$A$3:$A$498,"=575",'ANALITIKA EU PROJEKATA'!$P$3:$P$498,"=352")</f>
        <v>0</v>
      </c>
      <c r="R21" s="138">
        <f>SUMIFS('Plan rashoda za unos u SAP'!$I$3:$I$501,'Plan rashoda za unos u SAP'!$C$3:$C$501,"=576",'Plan rashoda za unos u SAP'!$M$3:$M$501,"=352")+SUMIFS('ANALITIKA EU PROJEKATA'!$G$3:$G$498,'ANALITIKA EU PROJEKATA'!$A$3:$A$498,"=576",'ANALITIKA EU PROJEKATA'!$P$3:$P$498,"=352")</f>
        <v>0</v>
      </c>
      <c r="S21" s="138">
        <f>SUMIFS('Plan rashoda za unos u SAP'!$I$3:$I$501,'Plan rashoda za unos u SAP'!$C$3:$C$501,"=581",'Plan rashoda za unos u SAP'!$M$3:$M$501,"=352")+SUMIFS('ANALITIKA EU PROJEKATA'!$G$3:$G$498,'ANALITIKA EU PROJEKATA'!$A$3:$A$498,"=581",'ANALITIKA EU PROJEKATA'!$P$3:$P$498,"=352")</f>
        <v>0</v>
      </c>
      <c r="T21" s="138">
        <f>SUMIFS('Plan rashoda za unos u SAP'!$I$3:$I$501,'Plan rashoda za unos u SAP'!$C$3:$C$501,"=61",'Plan rashoda za unos u SAP'!$M$3:$M$501,"=352")+SUMIFS('ANALITIKA EU PROJEKATA'!$G$3:$G$498,'ANALITIKA EU PROJEKATA'!$A$3:$A$498,"=61",'ANALITIKA EU PROJEKATA'!$P$3:$P$498,"=352")</f>
        <v>0</v>
      </c>
      <c r="U21" s="138">
        <f>SUMIFS('Plan rashoda za unos u SAP'!$I$3:$I$501,'Plan rashoda za unos u SAP'!$C$3:$C$501,"=63",'Plan rashoda za unos u SAP'!$M$3:$M$501,"=352")+SUMIFS('ANALITIKA EU PROJEKATA'!$G$3:$G$498,'ANALITIKA EU PROJEKATA'!$A$3:$A$498,"=63",'ANALITIKA EU PROJEKATA'!$P$3:$P$498,"=352")</f>
        <v>0</v>
      </c>
      <c r="V21" s="138">
        <f>SUMIFS('Plan rashoda za unos u SAP'!$I$3:$I$501,'Plan rashoda za unos u SAP'!$C$3:$C$501,"=71",'Plan rashoda za unos u SAP'!$M$3:$M$501,"=352")+SUMIFS('ANALITIKA EU PROJEKATA'!$G$3:$G$498,'ANALITIKA EU PROJEKATA'!$A$3:$A$498,"=71",'ANALITIKA EU PROJEKATA'!$P$3:$P$498,"=352")</f>
        <v>0</v>
      </c>
      <c r="W21" s="138">
        <f>SUMIFS('Plan rashoda za unos u SAP'!$I$3:$I$501,'Plan rashoda za unos u SAP'!$C$3:$C$501,"=81",'Plan rashoda za unos u SAP'!$M$3:$M$501,"=352")+SUMIFS('ANALITIKA EU PROJEKATA'!$G$3:$G$498,'ANALITIKA EU PROJEKATA'!$A$3:$A$498,"=81",'ANALITIKA EU PROJEKATA'!$P$3:$P$498,"=352")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PROJEKATA'!$G$3:$G$498,'ANALITIKA EU PROJEKATA'!$A$3:$A$498,"=11",'ANALITIKA EU PROJEKATA'!$P$3:$P$498,"=353")</f>
        <v>0</v>
      </c>
      <c r="F22" s="138">
        <f>SUMIFS('Plan rashoda za unos u SAP'!$I$3:$I$501,'Plan rashoda za unos u SAP'!$C$3:$C$501,"=12",'Plan rashoda za unos u SAP'!$M$3:$M$501,"=353")+SUMIFS('ANALITIKA EU PROJEKATA'!$G$3:$G$498,'ANALITIKA EU PROJEKATA'!$A$3:$A$498,"=12",'ANALITIKA EU PROJEKATA'!$P$3:$P$498,"=353")</f>
        <v>0</v>
      </c>
      <c r="G22" s="138">
        <f>SUMIFS('Plan rashoda za unos u SAP'!$I$3:$I$501,'Plan rashoda za unos u SAP'!$C$3:$C$501,"=31",'Plan rashoda za unos u SAP'!$M$3:$M$501,"=353")+SUMIFS('ANALITIKA EU PROJEKATA'!$G$3:$G$498,'ANALITIKA EU PROJEKATA'!$A$3:$A$498,"=31",'ANALITIKA EU PROJEKATA'!$P$3:$P$498,"=353")</f>
        <v>0</v>
      </c>
      <c r="H22" s="138">
        <f>SUMIFS('Plan rashoda za unos u SAP'!$I$3:$I$501,'Plan rashoda za unos u SAP'!$C$3:$C$501,"=41",'Plan rashoda za unos u SAP'!$M$3:$M$501,"=353")+SUMIFS('ANALITIKA EU PROJEKATA'!$G$3:$G$498,'ANALITIKA EU PROJEKATA'!$A$3:$A$498,"=41",'ANALITIKA EU PROJEKATA'!$P$3:$P$498,"=353")</f>
        <v>0</v>
      </c>
      <c r="I22" s="138">
        <f>SUMIFS('Plan rashoda za unos u SAP'!$I$3:$I$501,'Plan rashoda za unos u SAP'!$C$3:$C$501,"=43",'Plan rashoda za unos u SAP'!$M$3:$M$501,"=353")+SUMIFS('ANALITIKA EU PROJEKATA'!$G$3:$G$498,'ANALITIKA EU PROJEKATA'!$A$3:$A$498,"=43",'ANALITIKA EU PROJEKATA'!$P$3:$P$498,"=353")</f>
        <v>0</v>
      </c>
      <c r="J22" s="138">
        <f>SUMIFS('Plan rashoda za unos u SAP'!$I$3:$I$501,'Plan rashoda za unos u SAP'!$C$3:$C$501,"=51",'Plan rashoda za unos u SAP'!$M$3:$M$501,"=353")+SUMIFS('ANALITIKA EU PROJEKATA'!$G$3:$G$498,'ANALITIKA EU PROJEKATA'!$A$3:$A$498,"=51",'ANALITIKA EU PROJEKATA'!$P$3:$P$498,"=353")</f>
        <v>0</v>
      </c>
      <c r="K22" s="138">
        <f>SUMIFS('Plan rashoda za unos u SAP'!$I$3:$I$501,'Plan rashoda za unos u SAP'!$C$3:$C$501,"=52",'Plan rashoda za unos u SAP'!$M$3:$M$501,"=353")+SUMIFS('ANALITIKA EU PROJEKATA'!$G$3:$G$498,'ANALITIKA EU PROJEKATA'!$A$3:$A$498,"=52",'ANALITIKA EU PROJEKATA'!$P$3:$P$498,"=353")</f>
        <v>0</v>
      </c>
      <c r="L22" s="138">
        <f>SUMIFS('Plan rashoda za unos u SAP'!$I$3:$I$501,'Plan rashoda za unos u SAP'!$C$3:$C$501,"=552",'Plan rashoda za unos u SAP'!$M$3:$M$501,"=353")+SUMIFS('ANALITIKA EU PROJEKATA'!$G$3:$G$498,'ANALITIKA EU PROJEKATA'!$A$3:$A$498,"=552",'ANALITIKA EU PROJEKATA'!$P$3:$P$498,"=353")</f>
        <v>0</v>
      </c>
      <c r="M22" s="138">
        <f>SUMIFS('Plan rashoda za unos u SAP'!$I$3:$I$501,'Plan rashoda za unos u SAP'!$C$3:$C$501,"=559",'Plan rashoda za unos u SAP'!$M$3:$M$501,"=353")+SUMIFS('ANALITIKA EU PROJEKATA'!$G$3:$G$498,'ANALITIKA EU PROJEKATA'!$A$3:$A$498,"=559",'ANALITIKA EU PROJEKATA'!$P$3:$P$498,"=353")</f>
        <v>0</v>
      </c>
      <c r="N22" s="138">
        <f>SUMIFS('Plan rashoda za unos u SAP'!$I$3:$I$501,'Plan rashoda za unos u SAP'!$C$3:$C$501,"=561",'Plan rashoda za unos u SAP'!$M$3:$M$501,"=353")+SUMIFS('ANALITIKA EU PROJEKATA'!$G$3:$G$498,'ANALITIKA EU PROJEKATA'!$A$3:$A$498,"=561",'ANALITIKA EU PROJEKATA'!$P$3:$P$498,"=353")</f>
        <v>0</v>
      </c>
      <c r="O22" s="138">
        <f>SUMIFS('Plan rashoda za unos u SAP'!$I$3:$I$501,'Plan rashoda za unos u SAP'!$C$3:$C$501,"=563",'Plan rashoda za unos u SAP'!$M$3:$M$501,"=353")+SUMIFS('ANALITIKA EU PROJEKATA'!$G$3:$G$498,'ANALITIKA EU PROJEKATA'!$A$3:$A$498,"=563",'ANALITIKA EU PROJEKATA'!$P$3:$P$498,"=353")</f>
        <v>0</v>
      </c>
      <c r="P22" s="138">
        <f>SUMIFS('Plan rashoda za unos u SAP'!$I$3:$I$501,'Plan rashoda za unos u SAP'!$C$3:$C$501,"=573",'Plan rashoda za unos u SAP'!$M$3:$M$501,"=353")+SUMIFS('ANALITIKA EU PROJEKATA'!$G$3:$G$498,'ANALITIKA EU PROJEKATA'!$A$3:$A$498,"=573",'ANALITIKA EU PROJEKATA'!$P$3:$P$498,"=353")</f>
        <v>0</v>
      </c>
      <c r="Q22" s="138">
        <f>SUMIFS('Plan rashoda za unos u SAP'!$I$3:$I$501,'Plan rashoda za unos u SAP'!$C$3:$C$501,"=575",'Plan rashoda za unos u SAP'!$M$3:$M$501,"=353")+SUMIFS('ANALITIKA EU PROJEKATA'!$G$3:$G$498,'ANALITIKA EU PROJEKATA'!$A$3:$A$498,"=575",'ANALITIKA EU PROJEKATA'!$P$3:$P$498,"=353")</f>
        <v>0</v>
      </c>
      <c r="R22" s="138">
        <f>SUMIFS('Plan rashoda za unos u SAP'!$I$3:$I$501,'Plan rashoda za unos u SAP'!$C$3:$C$501,"=576",'Plan rashoda za unos u SAP'!$M$3:$M$501,"=353")+SUMIFS('ANALITIKA EU PROJEKATA'!$G$3:$G$498,'ANALITIKA EU PROJEKATA'!$A$3:$A$498,"=576",'ANALITIKA EU PROJEKATA'!$P$3:$P$498,"=353")</f>
        <v>0</v>
      </c>
      <c r="S22" s="138">
        <f>SUMIFS('Plan rashoda za unos u SAP'!$I$3:$I$501,'Plan rashoda za unos u SAP'!$C$3:$C$501,"=581",'Plan rashoda za unos u SAP'!$M$3:$M$501,"=353")+SUMIFS('ANALITIKA EU PROJEKATA'!$G$3:$G$498,'ANALITIKA EU PROJEKATA'!$A$3:$A$498,"=581",'ANALITIKA EU PROJEKATA'!$P$3:$P$498,"=353")</f>
        <v>0</v>
      </c>
      <c r="T22" s="138">
        <f>SUMIFS('Plan rashoda za unos u SAP'!$I$3:$I$501,'Plan rashoda za unos u SAP'!$C$3:$C$501,"=61",'Plan rashoda za unos u SAP'!$M$3:$M$501,"=353")+SUMIFS('ANALITIKA EU PROJEKATA'!$G$3:$G$498,'ANALITIKA EU PROJEKATA'!$A$3:$A$498,"=61",'ANALITIKA EU PROJEKATA'!$P$3:$P$498,"=353")</f>
        <v>0</v>
      </c>
      <c r="U22" s="138">
        <f>SUMIFS('Plan rashoda za unos u SAP'!$I$3:$I$501,'Plan rashoda za unos u SAP'!$C$3:$C$501,"=63",'Plan rashoda za unos u SAP'!$M$3:$M$501,"=353")+SUMIFS('ANALITIKA EU PROJEKATA'!$G$3:$G$498,'ANALITIKA EU PROJEKATA'!$A$3:$A$498,"=63",'ANALITIKA EU PROJEKATA'!$P$3:$P$498,"=353")</f>
        <v>0</v>
      </c>
      <c r="V22" s="138">
        <f>SUMIFS('Plan rashoda za unos u SAP'!$I$3:$I$501,'Plan rashoda za unos u SAP'!$C$3:$C$501,"=71",'Plan rashoda za unos u SAP'!$M$3:$M$501,"=353")+SUMIFS('ANALITIKA EU PROJEKATA'!$G$3:$G$498,'ANALITIKA EU PROJEKATA'!$A$3:$A$498,"=71",'ANALITIKA EU PROJEKATA'!$P$3:$P$498,"=353")</f>
        <v>0</v>
      </c>
      <c r="W22" s="138">
        <f>SUMIFS('Plan rashoda za unos u SAP'!$I$3:$I$501,'Plan rashoda za unos u SAP'!$C$3:$C$501,"=81",'Plan rashoda za unos u SAP'!$M$3:$M$501,"=353")+SUMIFS('ANALITIKA EU PROJEKATA'!$G$3:$G$498,'ANALITIKA EU PROJEKATA'!$A$3:$A$498,"=81",'ANALITIKA EU PROJEKATA'!$P$3:$P$498,"=353")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215926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36000</v>
      </c>
      <c r="H23" s="78">
        <f>SUM(H24:H29)</f>
        <v>0</v>
      </c>
      <c r="I23" s="78">
        <f t="shared" si="7"/>
        <v>179926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PROJEKATA'!$G$3:$G$498,'ANALITIKA EU PROJEKATA'!$A$3:$A$498,"=11",'ANALITIKA EU PROJEKATA'!$P$3:$P$498,"=361")</f>
        <v>0</v>
      </c>
      <c r="F24" s="138">
        <f>SUMIFS('Plan rashoda za unos u SAP'!$I$3:$I$501,'Plan rashoda za unos u SAP'!$C$3:$C$501,"=12",'Plan rashoda za unos u SAP'!$M$3:$M$501,"=361")+SUMIFS('ANALITIKA EU PROJEKATA'!$G$3:$G$498,'ANALITIKA EU PROJEKATA'!$A$3:$A$498,"=12",'ANALITIKA EU PROJEKATA'!$P$3:$P$498,"=361")</f>
        <v>0</v>
      </c>
      <c r="G24" s="138">
        <f>SUMIFS('Plan rashoda za unos u SAP'!$I$3:$I$501,'Plan rashoda za unos u SAP'!$C$3:$C$501,"=31",'Plan rashoda za unos u SAP'!$M$3:$M$501,"=361")+SUMIFS('ANALITIKA EU PROJEKATA'!$G$3:$G$498,'ANALITIKA EU PROJEKATA'!$A$3:$A$498,"=31",'ANALITIKA EU PROJEKATA'!$P$3:$P$498,"=361")</f>
        <v>0</v>
      </c>
      <c r="H24" s="138">
        <f>SUMIFS('Plan rashoda za unos u SAP'!$I$3:$I$501,'Plan rashoda za unos u SAP'!$C$3:$C$501,"=41",'Plan rashoda za unos u SAP'!$M$3:$M$501,"=361")+SUMIFS('ANALITIKA EU PROJEKATA'!$G$3:$G$498,'ANALITIKA EU PROJEKATA'!$A$3:$A$498,"=41",'ANALITIKA EU PROJEKATA'!$P$3:$P$498,"=361")</f>
        <v>0</v>
      </c>
      <c r="I24" s="138">
        <f>SUMIFS('Plan rashoda za unos u SAP'!$I$3:$I$501,'Plan rashoda za unos u SAP'!$C$3:$C$501,"=43",'Plan rashoda za unos u SAP'!$M$3:$M$501,"=361")+SUMIFS('ANALITIKA EU PROJEKATA'!$G$3:$G$498,'ANALITIKA EU PROJEKATA'!$A$3:$A$498,"=43",'ANALITIKA EU PROJEKATA'!$P$3:$P$498,"=361")</f>
        <v>0</v>
      </c>
      <c r="J24" s="138">
        <f>SUMIFS('Plan rashoda za unos u SAP'!$I$3:$I$501,'Plan rashoda za unos u SAP'!$C$3:$C$501,"=51",'Plan rashoda za unos u SAP'!$M$3:$M$501,"=361")+SUMIFS('ANALITIKA EU PROJEKATA'!$G$3:$G$498,'ANALITIKA EU PROJEKATA'!$A$3:$A$498,"=51",'ANALITIKA EU PROJEKATA'!$P$3:$P$498,"=361")</f>
        <v>0</v>
      </c>
      <c r="K24" s="138">
        <f>SUMIFS('Plan rashoda za unos u SAP'!$I$3:$I$501,'Plan rashoda za unos u SAP'!$C$3:$C$501,"=52",'Plan rashoda za unos u SAP'!$M$3:$M$501,"=361")+SUMIFS('ANALITIKA EU PROJEKATA'!$G$3:$G$498,'ANALITIKA EU PROJEKATA'!$A$3:$A$498,"=52",'ANALITIKA EU PROJEKATA'!$P$3:$P$498,"=361")</f>
        <v>0</v>
      </c>
      <c r="L24" s="138">
        <f>SUMIFS('Plan rashoda za unos u SAP'!$I$3:$I$501,'Plan rashoda za unos u SAP'!$C$3:$C$501,"=552",'Plan rashoda za unos u SAP'!$M$3:$M$501,"=361")+SUMIFS('ANALITIKA EU PROJEKATA'!$G$3:$G$498,'ANALITIKA EU PROJEKATA'!$A$3:$A$498,"=552",'ANALITIKA EU PROJEKATA'!$P$3:$P$498,"=361")</f>
        <v>0</v>
      </c>
      <c r="M24" s="138">
        <f>SUMIFS('Plan rashoda za unos u SAP'!$I$3:$I$501,'Plan rashoda za unos u SAP'!$C$3:$C$501,"=559",'Plan rashoda za unos u SAP'!$M$3:$M$501,"=361")+SUMIFS('ANALITIKA EU PROJEKATA'!$G$3:$G$498,'ANALITIKA EU PROJEKATA'!$A$3:$A$498,"=559",'ANALITIKA EU PROJEKATA'!$P$3:$P$498,"=361")</f>
        <v>0</v>
      </c>
      <c r="N24" s="138">
        <f>SUMIFS('Plan rashoda za unos u SAP'!$I$3:$I$501,'Plan rashoda za unos u SAP'!$C$3:$C$501,"=561",'Plan rashoda za unos u SAP'!$M$3:$M$501,"=361")+SUMIFS('ANALITIKA EU PROJEKATA'!$G$3:$G$498,'ANALITIKA EU PROJEKATA'!$A$3:$A$498,"=561",'ANALITIKA EU PROJEKATA'!$P$3:$P$498,"=361")</f>
        <v>0</v>
      </c>
      <c r="O24" s="138">
        <f>SUMIFS('Plan rashoda za unos u SAP'!$I$3:$I$501,'Plan rashoda za unos u SAP'!$C$3:$C$501,"=563",'Plan rashoda za unos u SAP'!$M$3:$M$501,"=361")+SUMIFS('ANALITIKA EU PROJEKATA'!$G$3:$G$498,'ANALITIKA EU PROJEKATA'!$A$3:$A$498,"=563",'ANALITIKA EU PROJEKATA'!$P$3:$P$498,"=361")</f>
        <v>0</v>
      </c>
      <c r="P24" s="138">
        <f>SUMIFS('Plan rashoda za unos u SAP'!$I$3:$I$501,'Plan rashoda za unos u SAP'!$C$3:$C$501,"=573",'Plan rashoda za unos u SAP'!$M$3:$M$501,"=361")+SUMIFS('ANALITIKA EU PROJEKATA'!$G$3:$G$498,'ANALITIKA EU PROJEKATA'!$A$3:$A$498,"=573",'ANALITIKA EU PROJEKATA'!$P$3:$P$498,"=361")</f>
        <v>0</v>
      </c>
      <c r="Q24" s="138">
        <f>SUMIFS('Plan rashoda za unos u SAP'!$I$3:$I$501,'Plan rashoda za unos u SAP'!$C$3:$C$501,"=575",'Plan rashoda za unos u SAP'!$M$3:$M$501,"=361")+SUMIFS('ANALITIKA EU PROJEKATA'!$G$3:$G$498,'ANALITIKA EU PROJEKATA'!$A$3:$A$498,"=575",'ANALITIKA EU PROJEKATA'!$P$3:$P$498,"=361")</f>
        <v>0</v>
      </c>
      <c r="R24" s="138">
        <f>SUMIFS('Plan rashoda za unos u SAP'!$I$3:$I$501,'Plan rashoda za unos u SAP'!$C$3:$C$501,"=576",'Plan rashoda za unos u SAP'!$M$3:$M$501,"=361")+SUMIFS('ANALITIKA EU PROJEKATA'!$G$3:$G$498,'ANALITIKA EU PROJEKATA'!$A$3:$A$498,"=576",'ANALITIKA EU PROJEKATA'!$P$3:$P$498,"=361")</f>
        <v>0</v>
      </c>
      <c r="S24" s="138">
        <f>SUMIFS('Plan rashoda za unos u SAP'!$I$3:$I$501,'Plan rashoda za unos u SAP'!$C$3:$C$501,"=581",'Plan rashoda za unos u SAP'!$M$3:$M$501,"=361")+SUMIFS('ANALITIKA EU PROJEKATA'!$G$3:$G$498,'ANALITIKA EU PROJEKATA'!$A$3:$A$498,"=581",'ANALITIKA EU PROJEKATA'!$P$3:$P$498,"=361")</f>
        <v>0</v>
      </c>
      <c r="T24" s="138">
        <f>SUMIFS('Plan rashoda za unos u SAP'!$I$3:$I$501,'Plan rashoda za unos u SAP'!$C$3:$C$501,"=61",'Plan rashoda za unos u SAP'!$M$3:$M$501,"=361")+SUMIFS('ANALITIKA EU PROJEKATA'!$G$3:$G$498,'ANALITIKA EU PROJEKATA'!$A$3:$A$498,"=61",'ANALITIKA EU PROJEKATA'!$P$3:$P$498,"=361")</f>
        <v>0</v>
      </c>
      <c r="U24" s="138">
        <f>SUMIFS('Plan rashoda za unos u SAP'!$I$3:$I$501,'Plan rashoda za unos u SAP'!$C$3:$C$501,"=63",'Plan rashoda za unos u SAP'!$M$3:$M$501,"=361")+SUMIFS('ANALITIKA EU PROJEKATA'!$G$3:$G$498,'ANALITIKA EU PROJEKATA'!$A$3:$A$498,"=63",'ANALITIKA EU PROJEKATA'!$P$3:$P$498,"=361")</f>
        <v>0</v>
      </c>
      <c r="V24" s="138">
        <f>SUMIFS('Plan rashoda za unos u SAP'!$I$3:$I$501,'Plan rashoda za unos u SAP'!$C$3:$C$501,"=71",'Plan rashoda za unos u SAP'!$M$3:$M$501,"=361")+SUMIFS('ANALITIKA EU PROJEKATA'!$G$3:$G$498,'ANALITIKA EU PROJEKATA'!$A$3:$A$498,"=71",'ANALITIKA EU PROJEKATA'!$P$3:$P$498,"=361")</f>
        <v>0</v>
      </c>
      <c r="W24" s="138">
        <f>SUMIFS('Plan rashoda za unos u SAP'!$I$3:$I$501,'Plan rashoda za unos u SAP'!$C$3:$C$501,"=81",'Plan rashoda za unos u SAP'!$M$3:$M$501,"=361")+SUMIFS('ANALITIKA EU PROJEKATA'!$G$3:$G$498,'ANALITIKA EU PROJEKATA'!$A$3:$A$498,"=81",'ANALITIKA EU PROJEKATA'!$P$3:$P$498,"=361")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PROJEKATA'!$G$3:$G$498,'ANALITIKA EU PROJEKATA'!$A$3:$A$498,"=11",'ANALITIKA EU PROJEKATA'!$P$3:$P$498,"=362")</f>
        <v>0</v>
      </c>
      <c r="F25" s="138">
        <f>SUMIFS('Plan rashoda za unos u SAP'!$I$3:$I$501,'Plan rashoda za unos u SAP'!$C$3:$C$501,"=12",'Plan rashoda za unos u SAP'!$M$3:$M$501,"=362")+SUMIFS('ANALITIKA EU PROJEKATA'!$G$3:$G$498,'ANALITIKA EU PROJEKATA'!$A$3:$A$498,"=12",'ANALITIKA EU PROJEKATA'!$P$3:$P$498,"=362")</f>
        <v>0</v>
      </c>
      <c r="G25" s="138">
        <f>SUMIFS('Plan rashoda za unos u SAP'!$I$3:$I$501,'Plan rashoda za unos u SAP'!$C$3:$C$501,"=31",'Plan rashoda za unos u SAP'!$M$3:$M$501,"=362")+SUMIFS('ANALITIKA EU PROJEKATA'!$G$3:$G$498,'ANALITIKA EU PROJEKATA'!$A$3:$A$498,"=31",'ANALITIKA EU PROJEKATA'!$P$3:$P$498,"=362")</f>
        <v>0</v>
      </c>
      <c r="H25" s="138">
        <f>SUMIFS('Plan rashoda za unos u SAP'!$I$3:$I$501,'Plan rashoda za unos u SAP'!$C$3:$C$501,"=41",'Plan rashoda za unos u SAP'!$M$3:$M$501,"=362")+SUMIFS('ANALITIKA EU PROJEKATA'!$G$3:$G$498,'ANALITIKA EU PROJEKATA'!$A$3:$A$498,"=41",'ANALITIKA EU PROJEKATA'!$P$3:$P$498,"=362")</f>
        <v>0</v>
      </c>
      <c r="I25" s="138">
        <f>SUMIFS('Plan rashoda za unos u SAP'!$I$3:$I$501,'Plan rashoda za unos u SAP'!$C$3:$C$501,"=43",'Plan rashoda za unos u SAP'!$M$3:$M$501,"=362")+SUMIFS('ANALITIKA EU PROJEKATA'!$G$3:$G$498,'ANALITIKA EU PROJEKATA'!$A$3:$A$498,"=43",'ANALITIKA EU PROJEKATA'!$P$3:$P$498,"=362")</f>
        <v>0</v>
      </c>
      <c r="J25" s="138">
        <f>SUMIFS('Plan rashoda za unos u SAP'!$I$3:$I$501,'Plan rashoda za unos u SAP'!$C$3:$C$501,"=51",'Plan rashoda za unos u SAP'!$M$3:$M$501,"=362")+SUMIFS('ANALITIKA EU PROJEKATA'!$G$3:$G$498,'ANALITIKA EU PROJEKATA'!$A$3:$A$498,"=51",'ANALITIKA EU PROJEKATA'!$P$3:$P$498,"=362")</f>
        <v>0</v>
      </c>
      <c r="K25" s="138">
        <f>SUMIFS('Plan rashoda za unos u SAP'!$I$3:$I$501,'Plan rashoda za unos u SAP'!$C$3:$C$501,"=52",'Plan rashoda za unos u SAP'!$M$3:$M$501,"=362")+SUMIFS('ANALITIKA EU PROJEKATA'!$G$3:$G$498,'ANALITIKA EU PROJEKATA'!$A$3:$A$498,"=52",'ANALITIKA EU PROJEKATA'!$P$3:$P$498,"=362")</f>
        <v>0</v>
      </c>
      <c r="L25" s="138">
        <f>SUMIFS('Plan rashoda za unos u SAP'!$I$3:$I$501,'Plan rashoda za unos u SAP'!$C$3:$C$501,"=552",'Plan rashoda za unos u SAP'!$M$3:$M$501,"=362")+SUMIFS('ANALITIKA EU PROJEKATA'!$G$3:$G$498,'ANALITIKA EU PROJEKATA'!$A$3:$A$498,"=552",'ANALITIKA EU PROJEKATA'!$P$3:$P$498,"=362")</f>
        <v>0</v>
      </c>
      <c r="M25" s="138">
        <f>SUMIFS('Plan rashoda za unos u SAP'!$I$3:$I$501,'Plan rashoda za unos u SAP'!$C$3:$C$501,"=559",'Plan rashoda za unos u SAP'!$M$3:$M$501,"=362")+SUMIFS('ANALITIKA EU PROJEKATA'!$G$3:$G$498,'ANALITIKA EU PROJEKATA'!$A$3:$A$498,"=559",'ANALITIKA EU PROJEKATA'!$P$3:$P$498,"=362")</f>
        <v>0</v>
      </c>
      <c r="N25" s="138">
        <f>SUMIFS('Plan rashoda za unos u SAP'!$I$3:$I$501,'Plan rashoda za unos u SAP'!$C$3:$C$501,"=561",'Plan rashoda za unos u SAP'!$M$3:$M$501,"=362")+SUMIFS('ANALITIKA EU PROJEKATA'!$G$3:$G$498,'ANALITIKA EU PROJEKATA'!$A$3:$A$498,"=561",'ANALITIKA EU PROJEKATA'!$P$3:$P$498,"=362")</f>
        <v>0</v>
      </c>
      <c r="O25" s="138">
        <f>SUMIFS('Plan rashoda za unos u SAP'!$I$3:$I$501,'Plan rashoda za unos u SAP'!$C$3:$C$501,"=563",'Plan rashoda za unos u SAP'!$M$3:$M$501,"=362")+SUMIFS('ANALITIKA EU PROJEKATA'!$G$3:$G$498,'ANALITIKA EU PROJEKATA'!$A$3:$A$498,"=563",'ANALITIKA EU PROJEKATA'!$P$3:$P$498,"=362")</f>
        <v>0</v>
      </c>
      <c r="P25" s="138">
        <f>SUMIFS('Plan rashoda za unos u SAP'!$I$3:$I$501,'Plan rashoda za unos u SAP'!$C$3:$C$501,"=573",'Plan rashoda za unos u SAP'!$M$3:$M$501,"=362")+SUMIFS('ANALITIKA EU PROJEKATA'!$G$3:$G$498,'ANALITIKA EU PROJEKATA'!$A$3:$A$498,"=573",'ANALITIKA EU PROJEKATA'!$P$3:$P$498,"=362")</f>
        <v>0</v>
      </c>
      <c r="Q25" s="138">
        <f>SUMIFS('Plan rashoda za unos u SAP'!$I$3:$I$501,'Plan rashoda za unos u SAP'!$C$3:$C$501,"=575",'Plan rashoda za unos u SAP'!$M$3:$M$501,"=362")+SUMIFS('ANALITIKA EU PROJEKATA'!$G$3:$G$498,'ANALITIKA EU PROJEKATA'!$A$3:$A$498,"=575",'ANALITIKA EU PROJEKATA'!$P$3:$P$498,"=362")</f>
        <v>0</v>
      </c>
      <c r="R25" s="138">
        <f>SUMIFS('Plan rashoda za unos u SAP'!$I$3:$I$501,'Plan rashoda za unos u SAP'!$C$3:$C$501,"=576",'Plan rashoda za unos u SAP'!$M$3:$M$501,"=362")+SUMIFS('ANALITIKA EU PROJEKATA'!$G$3:$G$498,'ANALITIKA EU PROJEKATA'!$A$3:$A$498,"=576",'ANALITIKA EU PROJEKATA'!$P$3:$P$498,"=362")</f>
        <v>0</v>
      </c>
      <c r="S25" s="138">
        <f>SUMIFS('Plan rashoda za unos u SAP'!$I$3:$I$501,'Plan rashoda za unos u SAP'!$C$3:$C$501,"=581",'Plan rashoda za unos u SAP'!$M$3:$M$501,"=362")+SUMIFS('ANALITIKA EU PROJEKATA'!$G$3:$G$498,'ANALITIKA EU PROJEKATA'!$A$3:$A$498,"=581",'ANALITIKA EU PROJEKATA'!$P$3:$P$498,"=362")</f>
        <v>0</v>
      </c>
      <c r="T25" s="138">
        <f>SUMIFS('Plan rashoda za unos u SAP'!$I$3:$I$501,'Plan rashoda za unos u SAP'!$C$3:$C$501,"=61",'Plan rashoda za unos u SAP'!$M$3:$M$501,"=362")+SUMIFS('ANALITIKA EU PROJEKATA'!$G$3:$G$498,'ANALITIKA EU PROJEKATA'!$A$3:$A$498,"=61",'ANALITIKA EU PROJEKATA'!$P$3:$P$498,"=362")</f>
        <v>0</v>
      </c>
      <c r="U25" s="138">
        <f>SUMIFS('Plan rashoda za unos u SAP'!$I$3:$I$501,'Plan rashoda za unos u SAP'!$C$3:$C$501,"=63",'Plan rashoda za unos u SAP'!$M$3:$M$501,"=362")+SUMIFS('ANALITIKA EU PROJEKATA'!$G$3:$G$498,'ANALITIKA EU PROJEKATA'!$A$3:$A$498,"=63",'ANALITIKA EU PROJEKATA'!$P$3:$P$498,"=362")</f>
        <v>0</v>
      </c>
      <c r="V25" s="138">
        <f>SUMIFS('Plan rashoda za unos u SAP'!$I$3:$I$501,'Plan rashoda za unos u SAP'!$C$3:$C$501,"=71",'Plan rashoda za unos u SAP'!$M$3:$M$501,"=362")+SUMIFS('ANALITIKA EU PROJEKATA'!$G$3:$G$498,'ANALITIKA EU PROJEKATA'!$A$3:$A$498,"=71",'ANALITIKA EU PROJEKATA'!$P$3:$P$498,"=362")</f>
        <v>0</v>
      </c>
      <c r="W25" s="138">
        <f>SUMIFS('Plan rashoda za unos u SAP'!$I$3:$I$501,'Plan rashoda za unos u SAP'!$C$3:$C$501,"=81",'Plan rashoda za unos u SAP'!$M$3:$M$501,"=362")+SUMIFS('ANALITIKA EU PROJEKATA'!$G$3:$G$498,'ANALITIKA EU PROJEKATA'!$A$3:$A$498,"=81",'ANALITIKA EU PROJEKATA'!$P$3:$P$498,"=362")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PROJEKATA'!$G$3:$G$498,'ANALITIKA EU PROJEKATA'!$A$3:$A$498,"=11",'ANALITIKA EU PROJEKATA'!$P$3:$P$498,"=363")</f>
        <v>0</v>
      </c>
      <c r="F26" s="138">
        <f>SUMIFS('Plan rashoda za unos u SAP'!$I$3:$I$501,'Plan rashoda za unos u SAP'!$C$3:$C$501,"=12",'Plan rashoda za unos u SAP'!$M$3:$M$501,"=363")+SUMIFS('ANALITIKA EU PROJEKATA'!$G$3:$G$498,'ANALITIKA EU PROJEKATA'!$A$3:$A$498,"=12",'ANALITIKA EU PROJEKATA'!$P$3:$P$498,"=363")</f>
        <v>0</v>
      </c>
      <c r="G26" s="138">
        <f>SUMIFS('Plan rashoda za unos u SAP'!$I$3:$I$501,'Plan rashoda za unos u SAP'!$C$3:$C$501,"=31",'Plan rashoda za unos u SAP'!$M$3:$M$501,"=363")+SUMIFS('ANALITIKA EU PROJEKATA'!$G$3:$G$498,'ANALITIKA EU PROJEKATA'!$A$3:$A$498,"=31",'ANALITIKA EU PROJEKATA'!$P$3:$P$498,"=363")</f>
        <v>0</v>
      </c>
      <c r="H26" s="138">
        <f>SUMIFS('Plan rashoda za unos u SAP'!$I$3:$I$501,'Plan rashoda za unos u SAP'!$C$3:$C$501,"=41",'Plan rashoda za unos u SAP'!$M$3:$M$501,"=363")+SUMIFS('ANALITIKA EU PROJEKATA'!$G$3:$G$498,'ANALITIKA EU PROJEKATA'!$A$3:$A$498,"=41",'ANALITIKA EU PROJEKATA'!$P$3:$P$498,"=363")</f>
        <v>0</v>
      </c>
      <c r="I26" s="138">
        <f>SUMIFS('Plan rashoda za unos u SAP'!$I$3:$I$501,'Plan rashoda za unos u SAP'!$C$3:$C$501,"=43",'Plan rashoda za unos u SAP'!$M$3:$M$501,"=363")+SUMIFS('ANALITIKA EU PROJEKATA'!$G$3:$G$498,'ANALITIKA EU PROJEKATA'!$A$3:$A$498,"=43",'ANALITIKA EU PROJEKATA'!$P$3:$P$498,"=363")</f>
        <v>0</v>
      </c>
      <c r="J26" s="138">
        <f>SUMIFS('Plan rashoda za unos u SAP'!$I$3:$I$501,'Plan rashoda za unos u SAP'!$C$3:$C$501,"=51",'Plan rashoda za unos u SAP'!$M$3:$M$501,"=363")+SUMIFS('ANALITIKA EU PROJEKATA'!$G$3:$G$498,'ANALITIKA EU PROJEKATA'!$A$3:$A$498,"=51",'ANALITIKA EU PROJEKATA'!$P$3:$P$498,"=363")</f>
        <v>0</v>
      </c>
      <c r="K26" s="138">
        <f>SUMIFS('Plan rashoda za unos u SAP'!$I$3:$I$501,'Plan rashoda za unos u SAP'!$C$3:$C$501,"=52",'Plan rashoda za unos u SAP'!$M$3:$M$501,"=363")+SUMIFS('ANALITIKA EU PROJEKATA'!$G$3:$G$498,'ANALITIKA EU PROJEKATA'!$A$3:$A$498,"=52",'ANALITIKA EU PROJEKATA'!$P$3:$P$498,"=363")</f>
        <v>0</v>
      </c>
      <c r="L26" s="138">
        <f>SUMIFS('Plan rashoda za unos u SAP'!$I$3:$I$501,'Plan rashoda za unos u SAP'!$C$3:$C$501,"=552",'Plan rashoda za unos u SAP'!$M$3:$M$501,"=363")+SUMIFS('ANALITIKA EU PROJEKATA'!$G$3:$G$498,'ANALITIKA EU PROJEKATA'!$A$3:$A$498,"=552",'ANALITIKA EU PROJEKATA'!$P$3:$P$498,"=363")</f>
        <v>0</v>
      </c>
      <c r="M26" s="138">
        <f>SUMIFS('Plan rashoda za unos u SAP'!$I$3:$I$501,'Plan rashoda za unos u SAP'!$C$3:$C$501,"=559",'Plan rashoda za unos u SAP'!$M$3:$M$501,"=363")+SUMIFS('ANALITIKA EU PROJEKATA'!$G$3:$G$498,'ANALITIKA EU PROJEKATA'!$A$3:$A$498,"=559",'ANALITIKA EU PROJEKATA'!$P$3:$P$498,"=363")</f>
        <v>0</v>
      </c>
      <c r="N26" s="138">
        <f>SUMIFS('Plan rashoda za unos u SAP'!$I$3:$I$501,'Plan rashoda za unos u SAP'!$C$3:$C$501,"=561",'Plan rashoda za unos u SAP'!$M$3:$M$501,"=363")+SUMIFS('ANALITIKA EU PROJEKATA'!$G$3:$G$498,'ANALITIKA EU PROJEKATA'!$A$3:$A$498,"=561",'ANALITIKA EU PROJEKATA'!$P$3:$P$498,"=363")</f>
        <v>0</v>
      </c>
      <c r="O26" s="138">
        <f>SUMIFS('Plan rashoda za unos u SAP'!$I$3:$I$501,'Plan rashoda za unos u SAP'!$C$3:$C$501,"=563",'Plan rashoda za unos u SAP'!$M$3:$M$501,"=363")+SUMIFS('ANALITIKA EU PROJEKATA'!$G$3:$G$498,'ANALITIKA EU PROJEKATA'!$A$3:$A$498,"=563",'ANALITIKA EU PROJEKATA'!$P$3:$P$498,"=363")</f>
        <v>0</v>
      </c>
      <c r="P26" s="138">
        <f>SUMIFS('Plan rashoda za unos u SAP'!$I$3:$I$501,'Plan rashoda za unos u SAP'!$C$3:$C$501,"=573",'Plan rashoda za unos u SAP'!$M$3:$M$501,"=363")+SUMIFS('ANALITIKA EU PROJEKATA'!$G$3:$G$498,'ANALITIKA EU PROJEKATA'!$A$3:$A$498,"=573",'ANALITIKA EU PROJEKATA'!$P$3:$P$498,"=363")</f>
        <v>0</v>
      </c>
      <c r="Q26" s="138">
        <f>SUMIFS('Plan rashoda za unos u SAP'!$I$3:$I$501,'Plan rashoda za unos u SAP'!$C$3:$C$501,"=575",'Plan rashoda za unos u SAP'!$M$3:$M$501,"=363")+SUMIFS('ANALITIKA EU PROJEKATA'!$G$3:$G$498,'ANALITIKA EU PROJEKATA'!$A$3:$A$498,"=575",'ANALITIKA EU PROJEKATA'!$P$3:$P$498,"=363")</f>
        <v>0</v>
      </c>
      <c r="R26" s="138">
        <f>SUMIFS('Plan rashoda za unos u SAP'!$I$3:$I$501,'Plan rashoda za unos u SAP'!$C$3:$C$501,"=576",'Plan rashoda za unos u SAP'!$M$3:$M$501,"=363")+SUMIFS('ANALITIKA EU PROJEKATA'!$G$3:$G$498,'ANALITIKA EU PROJEKATA'!$A$3:$A$498,"=576",'ANALITIKA EU PROJEKATA'!$P$3:$P$498,"=363")</f>
        <v>0</v>
      </c>
      <c r="S26" s="138">
        <f>SUMIFS('Plan rashoda za unos u SAP'!$I$3:$I$501,'Plan rashoda za unos u SAP'!$C$3:$C$501,"=581",'Plan rashoda za unos u SAP'!$M$3:$M$501,"=363")+SUMIFS('ANALITIKA EU PROJEKATA'!$G$3:$G$498,'ANALITIKA EU PROJEKATA'!$A$3:$A$498,"=581",'ANALITIKA EU PROJEKATA'!$P$3:$P$498,"=363")</f>
        <v>0</v>
      </c>
      <c r="T26" s="138">
        <f>SUMIFS('Plan rashoda za unos u SAP'!$I$3:$I$501,'Plan rashoda za unos u SAP'!$C$3:$C$501,"=61",'Plan rashoda za unos u SAP'!$M$3:$M$501,"=363")+SUMIFS('ANALITIKA EU PROJEKATA'!$G$3:$G$498,'ANALITIKA EU PROJEKATA'!$A$3:$A$498,"=61",'ANALITIKA EU PROJEKATA'!$P$3:$P$498,"=363")</f>
        <v>0</v>
      </c>
      <c r="U26" s="138">
        <f>SUMIFS('Plan rashoda za unos u SAP'!$I$3:$I$501,'Plan rashoda za unos u SAP'!$C$3:$C$501,"=63",'Plan rashoda za unos u SAP'!$M$3:$M$501,"=363")+SUMIFS('ANALITIKA EU PROJEKATA'!$G$3:$G$498,'ANALITIKA EU PROJEKATA'!$A$3:$A$498,"=63",'ANALITIKA EU PROJEKATA'!$P$3:$P$498,"=363")</f>
        <v>0</v>
      </c>
      <c r="V26" s="138">
        <f>SUMIFS('Plan rashoda za unos u SAP'!$I$3:$I$501,'Plan rashoda za unos u SAP'!$C$3:$C$501,"=71",'Plan rashoda za unos u SAP'!$M$3:$M$501,"=363")+SUMIFS('ANALITIKA EU PROJEKATA'!$G$3:$G$498,'ANALITIKA EU PROJEKATA'!$A$3:$A$498,"=71",'ANALITIKA EU PROJEKATA'!$P$3:$P$498,"=363")</f>
        <v>0</v>
      </c>
      <c r="W26" s="138">
        <f>SUMIFS('Plan rashoda za unos u SAP'!$I$3:$I$501,'Plan rashoda za unos u SAP'!$C$3:$C$501,"=81",'Plan rashoda za unos u SAP'!$M$3:$M$501,"=363")+SUMIFS('ANALITIKA EU PROJEKATA'!$G$3:$G$498,'ANALITIKA EU PROJEKATA'!$A$3:$A$498,"=81",'ANALITIKA EU PROJEKATA'!$P$3:$P$498,"=363")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PROJEKATA'!$G$3:$G$498,'ANALITIKA EU PROJEKATA'!$A$3:$A$498,"=11",'ANALITIKA EU PROJEKATA'!$P$3:$P$498,"=366")</f>
        <v>0</v>
      </c>
      <c r="F27" s="138">
        <f>SUMIFS('Plan rashoda za unos u SAP'!$I$3:$I$501,'Plan rashoda za unos u SAP'!$C$3:$C$501,"=12",'Plan rashoda za unos u SAP'!$M$3:$M$501,"=366")+SUMIFS('ANALITIKA EU PROJEKATA'!$G$3:$G$498,'ANALITIKA EU PROJEKATA'!$A$3:$A$498,"=12",'ANALITIKA EU PROJEKATA'!$P$3:$P$498,"=366")</f>
        <v>0</v>
      </c>
      <c r="G27" s="138">
        <f>SUMIFS('Plan rashoda za unos u SAP'!$I$3:$I$501,'Plan rashoda za unos u SAP'!$C$3:$C$501,"=31",'Plan rashoda za unos u SAP'!$M$3:$M$501,"=366")+SUMIFS('ANALITIKA EU PROJEKATA'!$G$3:$G$498,'ANALITIKA EU PROJEKATA'!$A$3:$A$498,"=31",'ANALITIKA EU PROJEKATA'!$P$3:$P$498,"=366")</f>
        <v>0</v>
      </c>
      <c r="H27" s="138">
        <f>SUMIFS('Plan rashoda za unos u SAP'!$I$3:$I$501,'Plan rashoda za unos u SAP'!$C$3:$C$501,"=41",'Plan rashoda za unos u SAP'!$M$3:$M$501,"=366")+SUMIFS('ANALITIKA EU PROJEKATA'!$G$3:$G$498,'ANALITIKA EU PROJEKATA'!$A$3:$A$498,"=41",'ANALITIKA EU PROJEKATA'!$P$3:$P$498,"=366")</f>
        <v>0</v>
      </c>
      <c r="I27" s="138">
        <f>SUMIFS('Plan rashoda za unos u SAP'!$I$3:$I$501,'Plan rashoda za unos u SAP'!$C$3:$C$501,"=43",'Plan rashoda za unos u SAP'!$M$3:$M$501,"=366")+SUMIFS('ANALITIKA EU PROJEKATA'!$G$3:$G$498,'ANALITIKA EU PROJEKATA'!$A$3:$A$498,"=43",'ANALITIKA EU PROJEKATA'!$P$3:$P$498,"=366")</f>
        <v>0</v>
      </c>
      <c r="J27" s="138">
        <f>SUMIFS('Plan rashoda za unos u SAP'!$I$3:$I$501,'Plan rashoda za unos u SAP'!$C$3:$C$501,"=51",'Plan rashoda za unos u SAP'!$M$3:$M$501,"=366")+SUMIFS('ANALITIKA EU PROJEKATA'!$G$3:$G$498,'ANALITIKA EU PROJEKATA'!$A$3:$A$498,"=51",'ANALITIKA EU PROJEKATA'!$P$3:$P$498,"=366")</f>
        <v>0</v>
      </c>
      <c r="K27" s="138">
        <f>SUMIFS('Plan rashoda za unos u SAP'!$I$3:$I$501,'Plan rashoda za unos u SAP'!$C$3:$C$501,"=52",'Plan rashoda za unos u SAP'!$M$3:$M$501,"=366")+SUMIFS('ANALITIKA EU PROJEKATA'!$G$3:$G$498,'ANALITIKA EU PROJEKATA'!$A$3:$A$498,"=52",'ANALITIKA EU PROJEKATA'!$P$3:$P$498,"=366")</f>
        <v>0</v>
      </c>
      <c r="L27" s="138">
        <f>SUMIFS('Plan rashoda za unos u SAP'!$I$3:$I$501,'Plan rashoda za unos u SAP'!$C$3:$C$501,"=552",'Plan rashoda za unos u SAP'!$M$3:$M$501,"=366")+SUMIFS('ANALITIKA EU PROJEKATA'!$G$3:$G$498,'ANALITIKA EU PROJEKATA'!$A$3:$A$498,"=552",'ANALITIKA EU PROJEKATA'!$P$3:$P$498,"=366")</f>
        <v>0</v>
      </c>
      <c r="M27" s="138">
        <f>SUMIFS('Plan rashoda za unos u SAP'!$I$3:$I$501,'Plan rashoda za unos u SAP'!$C$3:$C$501,"=559",'Plan rashoda za unos u SAP'!$M$3:$M$501,"=366")+SUMIFS('ANALITIKA EU PROJEKATA'!$G$3:$G$498,'ANALITIKA EU PROJEKATA'!$A$3:$A$498,"=559",'ANALITIKA EU PROJEKATA'!$P$3:$P$498,"=366")</f>
        <v>0</v>
      </c>
      <c r="N27" s="138">
        <f>SUMIFS('Plan rashoda za unos u SAP'!$I$3:$I$501,'Plan rashoda za unos u SAP'!$C$3:$C$501,"=561",'Plan rashoda za unos u SAP'!$M$3:$M$501,"=366")+SUMIFS('ANALITIKA EU PROJEKATA'!$G$3:$G$498,'ANALITIKA EU PROJEKATA'!$A$3:$A$498,"=561",'ANALITIKA EU PROJEKATA'!$P$3:$P$498,"=366")</f>
        <v>0</v>
      </c>
      <c r="O27" s="138">
        <f>SUMIFS('Plan rashoda za unos u SAP'!$I$3:$I$501,'Plan rashoda za unos u SAP'!$C$3:$C$501,"=563",'Plan rashoda za unos u SAP'!$M$3:$M$501,"=366")+SUMIFS('ANALITIKA EU PROJEKATA'!$G$3:$G$498,'ANALITIKA EU PROJEKATA'!$A$3:$A$498,"=563",'ANALITIKA EU PROJEKATA'!$P$3:$P$498,"=366")</f>
        <v>0</v>
      </c>
      <c r="P27" s="138">
        <f>SUMIFS('Plan rashoda za unos u SAP'!$I$3:$I$501,'Plan rashoda za unos u SAP'!$C$3:$C$501,"=573",'Plan rashoda za unos u SAP'!$M$3:$M$501,"=366")+SUMIFS('ANALITIKA EU PROJEKATA'!$G$3:$G$498,'ANALITIKA EU PROJEKATA'!$A$3:$A$498,"=573",'ANALITIKA EU PROJEKATA'!$P$3:$P$498,"=366")</f>
        <v>0</v>
      </c>
      <c r="Q27" s="138">
        <f>SUMIFS('Plan rashoda za unos u SAP'!$I$3:$I$501,'Plan rashoda za unos u SAP'!$C$3:$C$501,"=575",'Plan rashoda za unos u SAP'!$M$3:$M$501,"=366")+SUMIFS('ANALITIKA EU PROJEKATA'!$G$3:$G$498,'ANALITIKA EU PROJEKATA'!$A$3:$A$498,"=575",'ANALITIKA EU PROJEKATA'!$P$3:$P$498,"=366")</f>
        <v>0</v>
      </c>
      <c r="R27" s="138">
        <f>SUMIFS('Plan rashoda za unos u SAP'!$I$3:$I$501,'Plan rashoda za unos u SAP'!$C$3:$C$501,"=576",'Plan rashoda za unos u SAP'!$M$3:$M$501,"=366")+SUMIFS('ANALITIKA EU PROJEKATA'!$G$3:$G$498,'ANALITIKA EU PROJEKATA'!$A$3:$A$498,"=576",'ANALITIKA EU PROJEKATA'!$P$3:$P$498,"=366")</f>
        <v>0</v>
      </c>
      <c r="S27" s="138">
        <f>SUMIFS('Plan rashoda za unos u SAP'!$I$3:$I$501,'Plan rashoda za unos u SAP'!$C$3:$C$501,"=581",'Plan rashoda za unos u SAP'!$M$3:$M$501,"=366")+SUMIFS('ANALITIKA EU PROJEKATA'!$G$3:$G$498,'ANALITIKA EU PROJEKATA'!$A$3:$A$498,"=581",'ANALITIKA EU PROJEKATA'!$P$3:$P$498,"=366")</f>
        <v>0</v>
      </c>
      <c r="T27" s="138">
        <f>SUMIFS('Plan rashoda za unos u SAP'!$I$3:$I$501,'Plan rashoda za unos u SAP'!$C$3:$C$501,"=61",'Plan rashoda za unos u SAP'!$M$3:$M$501,"=366")+SUMIFS('ANALITIKA EU PROJEKATA'!$G$3:$G$498,'ANALITIKA EU PROJEKATA'!$A$3:$A$498,"=61",'ANALITIKA EU PROJEKATA'!$P$3:$P$498,"=366")</f>
        <v>0</v>
      </c>
      <c r="U27" s="138">
        <f>SUMIFS('Plan rashoda za unos u SAP'!$I$3:$I$501,'Plan rashoda za unos u SAP'!$C$3:$C$501,"=63",'Plan rashoda za unos u SAP'!$M$3:$M$501,"=366")+SUMIFS('ANALITIKA EU PROJEKATA'!$G$3:$G$498,'ANALITIKA EU PROJEKATA'!$A$3:$A$498,"=63",'ANALITIKA EU PROJEKATA'!$P$3:$P$498,"=366")</f>
        <v>0</v>
      </c>
      <c r="V27" s="138">
        <f>SUMIFS('Plan rashoda za unos u SAP'!$I$3:$I$501,'Plan rashoda za unos u SAP'!$C$3:$C$501,"=71",'Plan rashoda za unos u SAP'!$M$3:$M$501,"=366")+SUMIFS('ANALITIKA EU PROJEKATA'!$G$3:$G$498,'ANALITIKA EU PROJEKATA'!$A$3:$A$498,"=71",'ANALITIKA EU PROJEKATA'!$P$3:$P$498,"=366")</f>
        <v>0</v>
      </c>
      <c r="W27" s="138">
        <f>SUMIFS('Plan rashoda za unos u SAP'!$I$3:$I$501,'Plan rashoda za unos u SAP'!$C$3:$C$501,"=81",'Plan rashoda za unos u SAP'!$M$3:$M$501,"=366")+SUMIFS('ANALITIKA EU PROJEKATA'!$G$3:$G$498,'ANALITIKA EU PROJEKATA'!$A$3:$A$498,"=81",'ANALITIKA EU PROJEKATA'!$P$3:$P$498,"=366")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PROJEKATA'!$G$3:$G$498,'ANALITIKA EU PROJEKATA'!$A$3:$A$498,"=11",'ANALITIKA EU PROJEKATA'!$P$3:$P$498,"=368")</f>
        <v>0</v>
      </c>
      <c r="F28" s="138">
        <f>SUMIFS('Plan rashoda za unos u SAP'!$I$3:$I$501,'Plan rashoda za unos u SAP'!$C$3:$C$501,"=12",'Plan rashoda za unos u SAP'!$M$3:$M$501,"=368")+SUMIFS('ANALITIKA EU PROJEKATA'!$G$3:$G$498,'ANALITIKA EU PROJEKATA'!$A$3:$A$498,"=12",'ANALITIKA EU PROJEKATA'!$P$3:$P$498,"=368")</f>
        <v>0</v>
      </c>
      <c r="G28" s="138">
        <f>SUMIFS('Plan rashoda za unos u SAP'!$I$3:$I$501,'Plan rashoda za unos u SAP'!$C$3:$C$501,"=31",'Plan rashoda za unos u SAP'!$M$3:$M$501,"=368")+SUMIFS('ANALITIKA EU PROJEKATA'!$G$3:$G$498,'ANALITIKA EU PROJEKATA'!$A$3:$A$498,"=31",'ANALITIKA EU PROJEKATA'!$P$3:$P$498,"=368")</f>
        <v>0</v>
      </c>
      <c r="H28" s="138">
        <f>SUMIFS('Plan rashoda za unos u SAP'!$I$3:$I$501,'Plan rashoda za unos u SAP'!$C$3:$C$501,"=41",'Plan rashoda za unos u SAP'!$M$3:$M$501,"=368")+SUMIFS('ANALITIKA EU PROJEKATA'!$G$3:$G$498,'ANALITIKA EU PROJEKATA'!$A$3:$A$498,"=41",'ANALITIKA EU PROJEKATA'!$P$3:$P$498,"=368")</f>
        <v>0</v>
      </c>
      <c r="I28" s="138">
        <f>SUMIFS('Plan rashoda za unos u SAP'!$I$3:$I$501,'Plan rashoda za unos u SAP'!$C$3:$C$501,"=43",'Plan rashoda za unos u SAP'!$M$3:$M$501,"=368")+SUMIFS('ANALITIKA EU PROJEKATA'!$G$3:$G$498,'ANALITIKA EU PROJEKATA'!$A$3:$A$498,"=43",'ANALITIKA EU PROJEKATA'!$P$3:$P$498,"=368")</f>
        <v>0</v>
      </c>
      <c r="J28" s="138">
        <f>SUMIFS('Plan rashoda za unos u SAP'!$I$3:$I$501,'Plan rashoda za unos u SAP'!$C$3:$C$501,"=51",'Plan rashoda za unos u SAP'!$M$3:$M$501,"=368")+SUMIFS('ANALITIKA EU PROJEKATA'!$G$3:$G$498,'ANALITIKA EU PROJEKATA'!$A$3:$A$498,"=51",'ANALITIKA EU PROJEKATA'!$P$3:$P$498,"=368")</f>
        <v>0</v>
      </c>
      <c r="K28" s="138">
        <f>SUMIFS('Plan rashoda za unos u SAP'!$I$3:$I$501,'Plan rashoda za unos u SAP'!$C$3:$C$501,"=52",'Plan rashoda za unos u SAP'!$M$3:$M$501,"=368")+SUMIFS('ANALITIKA EU PROJEKATA'!$G$3:$G$498,'ANALITIKA EU PROJEKATA'!$A$3:$A$498,"=52",'ANALITIKA EU PROJEKATA'!$P$3:$P$498,"=368")</f>
        <v>0</v>
      </c>
      <c r="L28" s="138">
        <f>SUMIFS('Plan rashoda za unos u SAP'!$I$3:$I$501,'Plan rashoda za unos u SAP'!$C$3:$C$501,"=552",'Plan rashoda za unos u SAP'!$M$3:$M$501,"=368")+SUMIFS('ANALITIKA EU PROJEKATA'!$G$3:$G$498,'ANALITIKA EU PROJEKATA'!$A$3:$A$498,"=552",'ANALITIKA EU PROJEKATA'!$P$3:$P$498,"=368")</f>
        <v>0</v>
      </c>
      <c r="M28" s="138">
        <f>SUMIFS('Plan rashoda za unos u SAP'!$I$3:$I$501,'Plan rashoda za unos u SAP'!$C$3:$C$501,"=559",'Plan rashoda za unos u SAP'!$M$3:$M$501,"=368")+SUMIFS('ANALITIKA EU PROJEKATA'!$G$3:$G$498,'ANALITIKA EU PROJEKATA'!$A$3:$A$498,"=559",'ANALITIKA EU PROJEKATA'!$P$3:$P$498,"=368")</f>
        <v>0</v>
      </c>
      <c r="N28" s="138">
        <f>SUMIFS('Plan rashoda za unos u SAP'!$I$3:$I$501,'Plan rashoda za unos u SAP'!$C$3:$C$501,"=561",'Plan rashoda za unos u SAP'!$M$3:$M$501,"=368")+SUMIFS('ANALITIKA EU PROJEKATA'!$G$3:$G$498,'ANALITIKA EU PROJEKATA'!$A$3:$A$498,"=561",'ANALITIKA EU PROJEKATA'!$P$3:$P$498,"=368")</f>
        <v>0</v>
      </c>
      <c r="O28" s="138">
        <f>SUMIFS('Plan rashoda za unos u SAP'!$I$3:$I$501,'Plan rashoda za unos u SAP'!$C$3:$C$501,"=563",'Plan rashoda za unos u SAP'!$M$3:$M$501,"=368")+SUMIFS('ANALITIKA EU PROJEKATA'!$G$3:$G$498,'ANALITIKA EU PROJEKATA'!$A$3:$A$498,"=563",'ANALITIKA EU PROJEKATA'!$P$3:$P$498,"=368")</f>
        <v>0</v>
      </c>
      <c r="P28" s="138">
        <f>SUMIFS('Plan rashoda za unos u SAP'!$I$3:$I$501,'Plan rashoda za unos u SAP'!$C$3:$C$501,"=573",'Plan rashoda za unos u SAP'!$M$3:$M$501,"=368")+SUMIFS('ANALITIKA EU PROJEKATA'!$G$3:$G$498,'ANALITIKA EU PROJEKATA'!$A$3:$A$498,"=573",'ANALITIKA EU PROJEKATA'!$P$3:$P$498,"=368")</f>
        <v>0</v>
      </c>
      <c r="Q28" s="138">
        <f>SUMIFS('Plan rashoda za unos u SAP'!$I$3:$I$501,'Plan rashoda za unos u SAP'!$C$3:$C$501,"=575",'Plan rashoda za unos u SAP'!$M$3:$M$501,"=368")+SUMIFS('ANALITIKA EU PROJEKATA'!$G$3:$G$498,'ANALITIKA EU PROJEKATA'!$A$3:$A$498,"=575",'ANALITIKA EU PROJEKATA'!$P$3:$P$498,"=368")</f>
        <v>0</v>
      </c>
      <c r="R28" s="138">
        <f>SUMIFS('Plan rashoda za unos u SAP'!$I$3:$I$501,'Plan rashoda za unos u SAP'!$C$3:$C$501,"=576",'Plan rashoda za unos u SAP'!$M$3:$M$501,"=368")+SUMIFS('ANALITIKA EU PROJEKATA'!$G$3:$G$498,'ANALITIKA EU PROJEKATA'!$A$3:$A$498,"=576",'ANALITIKA EU PROJEKATA'!$P$3:$P$498,"=368")</f>
        <v>0</v>
      </c>
      <c r="S28" s="138">
        <f>SUMIFS('Plan rashoda za unos u SAP'!$I$3:$I$501,'Plan rashoda za unos u SAP'!$C$3:$C$501,"=581",'Plan rashoda za unos u SAP'!$M$3:$M$501,"=368")+SUMIFS('ANALITIKA EU PROJEKATA'!$G$3:$G$498,'ANALITIKA EU PROJEKATA'!$A$3:$A$498,"=581",'ANALITIKA EU PROJEKATA'!$P$3:$P$498,"=368")</f>
        <v>0</v>
      </c>
      <c r="T28" s="138">
        <f>SUMIFS('Plan rashoda za unos u SAP'!$I$3:$I$501,'Plan rashoda za unos u SAP'!$C$3:$C$501,"=61",'Plan rashoda za unos u SAP'!$M$3:$M$501,"=368")+SUMIFS('ANALITIKA EU PROJEKATA'!$G$3:$G$498,'ANALITIKA EU PROJEKATA'!$A$3:$A$498,"=61",'ANALITIKA EU PROJEKATA'!$P$3:$P$498,"=368")</f>
        <v>0</v>
      </c>
      <c r="U28" s="138">
        <f>SUMIFS('Plan rashoda za unos u SAP'!$I$3:$I$501,'Plan rashoda za unos u SAP'!$C$3:$C$501,"=63",'Plan rashoda za unos u SAP'!$M$3:$M$501,"=368")+SUMIFS('ANALITIKA EU PROJEKATA'!$G$3:$G$498,'ANALITIKA EU PROJEKATA'!$A$3:$A$498,"=63",'ANALITIKA EU PROJEKATA'!$P$3:$P$498,"=368")</f>
        <v>0</v>
      </c>
      <c r="V28" s="138">
        <f>SUMIFS('Plan rashoda za unos u SAP'!$I$3:$I$501,'Plan rashoda za unos u SAP'!$C$3:$C$501,"=71",'Plan rashoda za unos u SAP'!$M$3:$M$501,"=368")+SUMIFS('ANALITIKA EU PROJEKATA'!$G$3:$G$498,'ANALITIKA EU PROJEKATA'!$A$3:$A$498,"=71",'ANALITIKA EU PROJEKATA'!$P$3:$P$498,"=368")</f>
        <v>0</v>
      </c>
      <c r="W28" s="138">
        <f>SUMIFS('Plan rashoda za unos u SAP'!$I$3:$I$501,'Plan rashoda za unos u SAP'!$C$3:$C$501,"=81",'Plan rashoda za unos u SAP'!$M$3:$M$501,"=368")+SUMIFS('ANALITIKA EU PROJEKATA'!$G$3:$G$498,'ANALITIKA EU PROJEKATA'!$A$3:$A$498,"=81",'ANALITIKA EU PROJEKATA'!$P$3:$P$498,"=368")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215926</v>
      </c>
      <c r="E29" s="138">
        <f>SUMIFS('Plan rashoda za unos u SAP'!$I$3:$I$501,'Plan rashoda za unos u SAP'!$C$3:$C$501,"=11",'Plan rashoda za unos u SAP'!$M$3:$M$501,"=369")+SUMIFS('ANALITIKA EU PROJEKATA'!$G$3:$G$498,'ANALITIKA EU PROJEKATA'!$A$3:$A$498,"=11",'ANALITIKA EU PROJEKATA'!$P$3:$P$498,"=369")</f>
        <v>0</v>
      </c>
      <c r="F29" s="138">
        <f>SUMIFS('Plan rashoda za unos u SAP'!$I$3:$I$501,'Plan rashoda za unos u SAP'!$C$3:$C$501,"=12",'Plan rashoda za unos u SAP'!$M$3:$M$501,"=369")+SUMIFS('ANALITIKA EU PROJEKATA'!$G$3:$G$498,'ANALITIKA EU PROJEKATA'!$A$3:$A$498,"=12",'ANALITIKA EU PROJEKATA'!$P$3:$P$498,"=369")</f>
        <v>0</v>
      </c>
      <c r="G29" s="138">
        <f>SUMIFS('Plan rashoda za unos u SAP'!$I$3:$I$501,'Plan rashoda za unos u SAP'!$C$3:$C$501,"=31",'Plan rashoda za unos u SAP'!$M$3:$M$501,"=369")+SUMIFS('ANALITIKA EU PROJEKATA'!$G$3:$G$498,'ANALITIKA EU PROJEKATA'!$A$3:$A$498,"=31",'ANALITIKA EU PROJEKATA'!$P$3:$P$498,"=369")</f>
        <v>36000</v>
      </c>
      <c r="H29" s="138">
        <f>SUMIFS('Plan rashoda za unos u SAP'!$I$3:$I$501,'Plan rashoda za unos u SAP'!$C$3:$C$501,"=41",'Plan rashoda za unos u SAP'!$M$3:$M$501,"=369")+SUMIFS('ANALITIKA EU PROJEKATA'!$G$3:$G$498,'ANALITIKA EU PROJEKATA'!$A$3:$A$498,"=41",'ANALITIKA EU PROJEKATA'!$P$3:$P$498,"=369")</f>
        <v>0</v>
      </c>
      <c r="I29" s="138">
        <f>SUMIFS('Plan rashoda za unos u SAP'!$I$3:$I$501,'Plan rashoda za unos u SAP'!$C$3:$C$501,"=43",'Plan rashoda za unos u SAP'!$M$3:$M$501,"=369")+SUMIFS('ANALITIKA EU PROJEKATA'!$G$3:$G$498,'ANALITIKA EU PROJEKATA'!$A$3:$A$498,"=43",'ANALITIKA EU PROJEKATA'!$P$3:$P$498,"=369")</f>
        <v>179926</v>
      </c>
      <c r="J29" s="138">
        <f>SUMIFS('Plan rashoda za unos u SAP'!$I$3:$I$501,'Plan rashoda za unos u SAP'!$C$3:$C$501,"=51",'Plan rashoda za unos u SAP'!$M$3:$M$501,"=369")+SUMIFS('ANALITIKA EU PROJEKATA'!$G$3:$G$498,'ANALITIKA EU PROJEKATA'!$A$3:$A$498,"=51",'ANALITIKA EU PROJEKATA'!$P$3:$P$498,"=369")</f>
        <v>0</v>
      </c>
      <c r="K29" s="138">
        <f>SUMIFS('Plan rashoda za unos u SAP'!$I$3:$I$501,'Plan rashoda za unos u SAP'!$C$3:$C$501,"=52",'Plan rashoda za unos u SAP'!$M$3:$M$501,"=369")+SUMIFS('ANALITIKA EU PROJEKATA'!$G$3:$G$498,'ANALITIKA EU PROJEKATA'!$A$3:$A$498,"=52",'ANALITIKA EU PROJEKATA'!$P$3:$P$498,"=369")</f>
        <v>0</v>
      </c>
      <c r="L29" s="138">
        <f>SUMIFS('Plan rashoda za unos u SAP'!$I$3:$I$501,'Plan rashoda za unos u SAP'!$C$3:$C$501,"=552",'Plan rashoda za unos u SAP'!$M$3:$M$501,"=369")+SUMIFS('ANALITIKA EU PROJEKATA'!$G$3:$G$498,'ANALITIKA EU PROJEKATA'!$A$3:$A$498,"=552",'ANALITIKA EU PROJEKATA'!$P$3:$P$498,"=369")</f>
        <v>0</v>
      </c>
      <c r="M29" s="138">
        <f>SUMIFS('Plan rashoda za unos u SAP'!$I$3:$I$501,'Plan rashoda za unos u SAP'!$C$3:$C$501,"=559",'Plan rashoda za unos u SAP'!$M$3:$M$501,"=369")+SUMIFS('ANALITIKA EU PROJEKATA'!$G$3:$G$498,'ANALITIKA EU PROJEKATA'!$A$3:$A$498,"=559",'ANALITIKA EU PROJEKATA'!$P$3:$P$498,"=369")</f>
        <v>0</v>
      </c>
      <c r="N29" s="138">
        <f>SUMIFS('Plan rashoda za unos u SAP'!$I$3:$I$501,'Plan rashoda za unos u SAP'!$C$3:$C$501,"=561",'Plan rashoda za unos u SAP'!$M$3:$M$501,"=369")+SUMIFS('ANALITIKA EU PROJEKATA'!$G$3:$G$498,'ANALITIKA EU PROJEKATA'!$A$3:$A$498,"=561",'ANALITIKA EU PROJEKATA'!$P$3:$P$498,"=369")</f>
        <v>0</v>
      </c>
      <c r="O29" s="138">
        <f>SUMIFS('Plan rashoda za unos u SAP'!$I$3:$I$501,'Plan rashoda za unos u SAP'!$C$3:$C$501,"=563",'Plan rashoda za unos u SAP'!$M$3:$M$501,"=369")+SUMIFS('ANALITIKA EU PROJEKATA'!$G$3:$G$498,'ANALITIKA EU PROJEKATA'!$A$3:$A$498,"=563",'ANALITIKA EU PROJEKATA'!$P$3:$P$498,"=369")</f>
        <v>0</v>
      </c>
      <c r="P29" s="138">
        <f>SUMIFS('Plan rashoda za unos u SAP'!$I$3:$I$501,'Plan rashoda za unos u SAP'!$C$3:$C$501,"=573",'Plan rashoda za unos u SAP'!$M$3:$M$501,"=369")+SUMIFS('ANALITIKA EU PROJEKATA'!$G$3:$G$498,'ANALITIKA EU PROJEKATA'!$A$3:$A$498,"=573",'ANALITIKA EU PROJEKATA'!$P$3:$P$498,"=369")</f>
        <v>0</v>
      </c>
      <c r="Q29" s="138">
        <f>SUMIFS('Plan rashoda za unos u SAP'!$I$3:$I$501,'Plan rashoda za unos u SAP'!$C$3:$C$501,"=575",'Plan rashoda za unos u SAP'!$M$3:$M$501,"=369")+SUMIFS('ANALITIKA EU PROJEKATA'!$G$3:$G$498,'ANALITIKA EU PROJEKATA'!$A$3:$A$498,"=575",'ANALITIKA EU PROJEKATA'!$P$3:$P$498,"=369")</f>
        <v>0</v>
      </c>
      <c r="R29" s="138">
        <f>SUMIFS('Plan rashoda za unos u SAP'!$I$3:$I$501,'Plan rashoda za unos u SAP'!$C$3:$C$501,"=576",'Plan rashoda za unos u SAP'!$M$3:$M$501,"=369")+SUMIFS('ANALITIKA EU PROJEKATA'!$G$3:$G$498,'ANALITIKA EU PROJEKATA'!$A$3:$A$498,"=576",'ANALITIKA EU PROJEKATA'!$P$3:$P$498,"=369")</f>
        <v>0</v>
      </c>
      <c r="S29" s="138">
        <f>SUMIFS('Plan rashoda za unos u SAP'!$I$3:$I$501,'Plan rashoda za unos u SAP'!$C$3:$C$501,"=581",'Plan rashoda za unos u SAP'!$M$3:$M$501,"=369")+SUMIFS('ANALITIKA EU PROJEKATA'!$G$3:$G$498,'ANALITIKA EU PROJEKATA'!$A$3:$A$498,"=581",'ANALITIKA EU PROJEKATA'!$P$3:$P$498,"=369")</f>
        <v>0</v>
      </c>
      <c r="T29" s="138">
        <f>SUMIFS('Plan rashoda za unos u SAP'!$I$3:$I$501,'Plan rashoda za unos u SAP'!$C$3:$C$501,"=61",'Plan rashoda za unos u SAP'!$M$3:$M$501,"=369")+SUMIFS('ANALITIKA EU PROJEKATA'!$G$3:$G$498,'ANALITIKA EU PROJEKATA'!$A$3:$A$498,"=61",'ANALITIKA EU PROJEKATA'!$P$3:$P$498,"=369")</f>
        <v>0</v>
      </c>
      <c r="U29" s="138">
        <f>SUMIFS('Plan rashoda za unos u SAP'!$I$3:$I$501,'Plan rashoda za unos u SAP'!$C$3:$C$501,"=63",'Plan rashoda za unos u SAP'!$M$3:$M$501,"=369")+SUMIFS('ANALITIKA EU PROJEKATA'!$G$3:$G$498,'ANALITIKA EU PROJEKATA'!$A$3:$A$498,"=63",'ANALITIKA EU PROJEKATA'!$P$3:$P$498,"=369")</f>
        <v>0</v>
      </c>
      <c r="V29" s="138">
        <f>SUMIFS('Plan rashoda za unos u SAP'!$I$3:$I$501,'Plan rashoda za unos u SAP'!$C$3:$C$501,"=71",'Plan rashoda za unos u SAP'!$M$3:$M$501,"=369")+SUMIFS('ANALITIKA EU PROJEKATA'!$G$3:$G$498,'ANALITIKA EU PROJEKATA'!$A$3:$A$498,"=71",'ANALITIKA EU PROJEKATA'!$P$3:$P$498,"=369")</f>
        <v>0</v>
      </c>
      <c r="W29" s="138">
        <f>SUMIFS('Plan rashoda za unos u SAP'!$I$3:$I$501,'Plan rashoda za unos u SAP'!$C$3:$C$501,"=81",'Plan rashoda za unos u SAP'!$M$3:$M$501,"=369")+SUMIFS('ANALITIKA EU PROJEKATA'!$G$3:$G$498,'ANALITIKA EU PROJEKATA'!$A$3:$A$498,"=81",'ANALITIKA EU PROJEKATA'!$P$3:$P$498,"=369")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33000</v>
      </c>
      <c r="E30" s="4">
        <f t="shared" ref="E30:W30" si="8">SUM(E31:E32)</f>
        <v>33000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PROJEKATA'!$G$3:$G$498,'ANALITIKA EU PROJEKATA'!$A$3:$A$498,"=11",'ANALITIKA EU PROJEKATA'!$P$3:$P$498,"=371")</f>
        <v>0</v>
      </c>
      <c r="F31" s="138">
        <f>SUMIFS('Plan rashoda za unos u SAP'!$I$3:$I$501,'Plan rashoda za unos u SAP'!$C$3:$C$501,"=12",'Plan rashoda za unos u SAP'!$M$3:$M$501,"=371")+SUMIFS('ANALITIKA EU PROJEKATA'!$G$3:$G$498,'ANALITIKA EU PROJEKATA'!$A$3:$A$498,"=12",'ANALITIKA EU PROJEKATA'!$P$3:$P$498,"=371")</f>
        <v>0</v>
      </c>
      <c r="G31" s="138">
        <f>SUMIFS('Plan rashoda za unos u SAP'!$I$3:$I$501,'Plan rashoda za unos u SAP'!$C$3:$C$501,"=31",'Plan rashoda za unos u SAP'!$M$3:$M$501,"=371")+SUMIFS('ANALITIKA EU PROJEKATA'!$G$3:$G$498,'ANALITIKA EU PROJEKATA'!$A$3:$A$498,"=31",'ANALITIKA EU PROJEKATA'!$P$3:$P$498,"=371")</f>
        <v>0</v>
      </c>
      <c r="H31" s="138">
        <f>SUMIFS('Plan rashoda za unos u SAP'!$I$3:$I$501,'Plan rashoda za unos u SAP'!$C$3:$C$501,"=41",'Plan rashoda za unos u SAP'!$M$3:$M$501,"=371")+SUMIFS('ANALITIKA EU PROJEKATA'!$G$3:$G$498,'ANALITIKA EU PROJEKATA'!$A$3:$A$498,"=41",'ANALITIKA EU PROJEKATA'!$P$3:$P$498,"=371")</f>
        <v>0</v>
      </c>
      <c r="I31" s="138">
        <f>SUMIFS('Plan rashoda za unos u SAP'!$I$3:$I$501,'Plan rashoda za unos u SAP'!$C$3:$C$501,"=43",'Plan rashoda za unos u SAP'!$M$3:$M$501,"=371")+SUMIFS('ANALITIKA EU PROJEKATA'!$G$3:$G$498,'ANALITIKA EU PROJEKATA'!$A$3:$A$498,"=43",'ANALITIKA EU PROJEKATA'!$P$3:$P$498,"=371")</f>
        <v>0</v>
      </c>
      <c r="J31" s="138">
        <f>SUMIFS('Plan rashoda za unos u SAP'!$I$3:$I$501,'Plan rashoda za unos u SAP'!$C$3:$C$501,"=51",'Plan rashoda za unos u SAP'!$M$3:$M$501,"=371")+SUMIFS('ANALITIKA EU PROJEKATA'!$G$3:$G$498,'ANALITIKA EU PROJEKATA'!$A$3:$A$498,"=51",'ANALITIKA EU PROJEKATA'!$P$3:$P$498,"=371")</f>
        <v>0</v>
      </c>
      <c r="K31" s="138">
        <f>SUMIFS('Plan rashoda za unos u SAP'!$I$3:$I$501,'Plan rashoda za unos u SAP'!$C$3:$C$501,"=52",'Plan rashoda za unos u SAP'!$M$3:$M$501,"=371")+SUMIFS('ANALITIKA EU PROJEKATA'!$G$3:$G$498,'ANALITIKA EU PROJEKATA'!$A$3:$A$498,"=52",'ANALITIKA EU PROJEKATA'!$P$3:$P$498,"=371")</f>
        <v>0</v>
      </c>
      <c r="L31" s="138">
        <f>SUMIFS('Plan rashoda za unos u SAP'!$I$3:$I$501,'Plan rashoda za unos u SAP'!$C$3:$C$501,"=552",'Plan rashoda za unos u SAP'!$M$3:$M$501,"=371")+SUMIFS('ANALITIKA EU PROJEKATA'!$G$3:$G$498,'ANALITIKA EU PROJEKATA'!$A$3:$A$498,"=552",'ANALITIKA EU PROJEKATA'!$P$3:$P$498,"=371")</f>
        <v>0</v>
      </c>
      <c r="M31" s="138">
        <f>SUMIFS('Plan rashoda za unos u SAP'!$I$3:$I$501,'Plan rashoda za unos u SAP'!$C$3:$C$501,"=559",'Plan rashoda za unos u SAP'!$M$3:$M$501,"=371")+SUMIFS('ANALITIKA EU PROJEKATA'!$G$3:$G$498,'ANALITIKA EU PROJEKATA'!$A$3:$A$498,"=559",'ANALITIKA EU PROJEKATA'!$P$3:$P$498,"=371")</f>
        <v>0</v>
      </c>
      <c r="N31" s="138">
        <f>SUMIFS('Plan rashoda za unos u SAP'!$I$3:$I$501,'Plan rashoda za unos u SAP'!$C$3:$C$501,"=561",'Plan rashoda za unos u SAP'!$M$3:$M$501,"=371")+SUMIFS('ANALITIKA EU PROJEKATA'!$G$3:$G$498,'ANALITIKA EU PROJEKATA'!$A$3:$A$498,"=561",'ANALITIKA EU PROJEKATA'!$P$3:$P$498,"=371")</f>
        <v>0</v>
      </c>
      <c r="O31" s="138">
        <f>SUMIFS('Plan rashoda za unos u SAP'!$I$3:$I$501,'Plan rashoda za unos u SAP'!$C$3:$C$501,"=563",'Plan rashoda za unos u SAP'!$M$3:$M$501,"=371")+SUMIFS('ANALITIKA EU PROJEKATA'!$G$3:$G$498,'ANALITIKA EU PROJEKATA'!$A$3:$A$498,"=563",'ANALITIKA EU PROJEKATA'!$P$3:$P$498,"=371")</f>
        <v>0</v>
      </c>
      <c r="P31" s="138">
        <f>SUMIFS('Plan rashoda za unos u SAP'!$I$3:$I$501,'Plan rashoda za unos u SAP'!$C$3:$C$501,"=573",'Plan rashoda za unos u SAP'!$M$3:$M$501,"=371")+SUMIFS('ANALITIKA EU PROJEKATA'!$G$3:$G$498,'ANALITIKA EU PROJEKATA'!$A$3:$A$498,"=573",'ANALITIKA EU PROJEKATA'!$P$3:$P$498,"=371")</f>
        <v>0</v>
      </c>
      <c r="Q31" s="138">
        <f>SUMIFS('Plan rashoda za unos u SAP'!$I$3:$I$501,'Plan rashoda za unos u SAP'!$C$3:$C$501,"=575",'Plan rashoda za unos u SAP'!$M$3:$M$501,"=371")+SUMIFS('ANALITIKA EU PROJEKATA'!$G$3:$G$498,'ANALITIKA EU PROJEKATA'!$A$3:$A$498,"=575",'ANALITIKA EU PROJEKATA'!$P$3:$P$498,"=371")</f>
        <v>0</v>
      </c>
      <c r="R31" s="138">
        <f>SUMIFS('Plan rashoda za unos u SAP'!$I$3:$I$501,'Plan rashoda za unos u SAP'!$C$3:$C$501,"=576",'Plan rashoda za unos u SAP'!$M$3:$M$501,"=371")+SUMIFS('ANALITIKA EU PROJEKATA'!$G$3:$G$498,'ANALITIKA EU PROJEKATA'!$A$3:$A$498,"=576",'ANALITIKA EU PROJEKATA'!$P$3:$P$498,"=371")</f>
        <v>0</v>
      </c>
      <c r="S31" s="138">
        <f>SUMIFS('Plan rashoda za unos u SAP'!$I$3:$I$501,'Plan rashoda za unos u SAP'!$C$3:$C$501,"=581",'Plan rashoda za unos u SAP'!$M$3:$M$501,"=371")+SUMIFS('ANALITIKA EU PROJEKATA'!$G$3:$G$498,'ANALITIKA EU PROJEKATA'!$A$3:$A$498,"=581",'ANALITIKA EU PROJEKATA'!$P$3:$P$498,"=371")</f>
        <v>0</v>
      </c>
      <c r="T31" s="138">
        <f>SUMIFS('Plan rashoda za unos u SAP'!$I$3:$I$501,'Plan rashoda za unos u SAP'!$C$3:$C$501,"=61",'Plan rashoda za unos u SAP'!$M$3:$M$501,"=371")+SUMIFS('ANALITIKA EU PROJEKATA'!$G$3:$G$498,'ANALITIKA EU PROJEKATA'!$A$3:$A$498,"=61",'ANALITIKA EU PROJEKATA'!$P$3:$P$498,"=371")</f>
        <v>0</v>
      </c>
      <c r="U31" s="138">
        <f>SUMIFS('Plan rashoda za unos u SAP'!$I$3:$I$501,'Plan rashoda za unos u SAP'!$C$3:$C$501,"=63",'Plan rashoda za unos u SAP'!$M$3:$M$501,"=371")+SUMIFS('ANALITIKA EU PROJEKATA'!$G$3:$G$498,'ANALITIKA EU PROJEKATA'!$A$3:$A$498,"=63",'ANALITIKA EU PROJEKATA'!$P$3:$P$498,"=371")</f>
        <v>0</v>
      </c>
      <c r="V31" s="138">
        <f>SUMIFS('Plan rashoda za unos u SAP'!$I$3:$I$501,'Plan rashoda za unos u SAP'!$C$3:$C$501,"=71",'Plan rashoda za unos u SAP'!$M$3:$M$501,"=371")+SUMIFS('ANALITIKA EU PROJEKATA'!$G$3:$G$498,'ANALITIKA EU PROJEKATA'!$A$3:$A$498,"=71",'ANALITIKA EU PROJEKATA'!$P$3:$P$498,"=371")</f>
        <v>0</v>
      </c>
      <c r="W31" s="138">
        <f>SUMIFS('Plan rashoda za unos u SAP'!$I$3:$I$501,'Plan rashoda za unos u SAP'!$C$3:$C$501,"=81",'Plan rashoda za unos u SAP'!$M$3:$M$501,"=371")+SUMIFS('ANALITIKA EU PROJEKATA'!$G$3:$G$498,'ANALITIKA EU PROJEKATA'!$A$3:$A$498,"=81",'ANALITIKA EU PROJEKATA'!$P$3:$P$498,"=371")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33000</v>
      </c>
      <c r="E32" s="138">
        <f>SUMIFS('Plan rashoda za unos u SAP'!$I$3:$I$501,'Plan rashoda za unos u SAP'!$C$3:$C$501,"=11",'Plan rashoda za unos u SAP'!$M$3:$M$501,"=372")+SUMIFS('ANALITIKA EU PROJEKATA'!$G$3:$G$498,'ANALITIKA EU PROJEKATA'!$A$3:$A$498,"=11",'ANALITIKA EU PROJEKATA'!$P$3:$P$498,"=372")</f>
        <v>33000</v>
      </c>
      <c r="F32" s="138">
        <f>SUMIFS('Plan rashoda za unos u SAP'!$I$3:$I$501,'Plan rashoda za unos u SAP'!$C$3:$C$501,"=12",'Plan rashoda za unos u SAP'!$M$3:$M$501,"=372")+SUMIFS('ANALITIKA EU PROJEKATA'!$G$3:$G$498,'ANALITIKA EU PROJEKATA'!$A$3:$A$498,"=12",'ANALITIKA EU PROJEKATA'!$P$3:$P$498,"=372")</f>
        <v>0</v>
      </c>
      <c r="G32" s="138">
        <f>SUMIFS('Plan rashoda za unos u SAP'!$I$3:$I$501,'Plan rashoda za unos u SAP'!$C$3:$C$501,"=31",'Plan rashoda za unos u SAP'!$M$3:$M$501,"=372")+SUMIFS('ANALITIKA EU PROJEKATA'!$G$3:$G$498,'ANALITIKA EU PROJEKATA'!$A$3:$A$498,"=31",'ANALITIKA EU PROJEKATA'!$P$3:$P$498,"=372")</f>
        <v>0</v>
      </c>
      <c r="H32" s="138">
        <f>SUMIFS('Plan rashoda za unos u SAP'!$I$3:$I$501,'Plan rashoda za unos u SAP'!$C$3:$C$501,"=41",'Plan rashoda za unos u SAP'!$M$3:$M$501,"=372")+SUMIFS('ANALITIKA EU PROJEKATA'!$G$3:$G$498,'ANALITIKA EU PROJEKATA'!$A$3:$A$498,"=41",'ANALITIKA EU PROJEKATA'!$P$3:$P$498,"=372")</f>
        <v>0</v>
      </c>
      <c r="I32" s="138">
        <f>SUMIFS('Plan rashoda za unos u SAP'!$I$3:$I$501,'Plan rashoda za unos u SAP'!$C$3:$C$501,"=43",'Plan rashoda za unos u SAP'!$M$3:$M$501,"=372")+SUMIFS('ANALITIKA EU PROJEKATA'!$G$3:$G$498,'ANALITIKA EU PROJEKATA'!$A$3:$A$498,"=43",'ANALITIKA EU PROJEKATA'!$P$3:$P$498,"=372")</f>
        <v>0</v>
      </c>
      <c r="J32" s="138">
        <f>SUMIFS('Plan rashoda za unos u SAP'!$I$3:$I$501,'Plan rashoda za unos u SAP'!$C$3:$C$501,"=51",'Plan rashoda za unos u SAP'!$M$3:$M$501,"=372")+SUMIFS('ANALITIKA EU PROJEKATA'!$G$3:$G$498,'ANALITIKA EU PROJEKATA'!$A$3:$A$498,"=51",'ANALITIKA EU PROJEKATA'!$P$3:$P$498,"=372")</f>
        <v>0</v>
      </c>
      <c r="K32" s="138">
        <f>SUMIFS('Plan rashoda za unos u SAP'!$I$3:$I$501,'Plan rashoda za unos u SAP'!$C$3:$C$501,"=52",'Plan rashoda za unos u SAP'!$M$3:$M$501,"=372")+SUMIFS('ANALITIKA EU PROJEKATA'!$G$3:$G$498,'ANALITIKA EU PROJEKATA'!$A$3:$A$498,"=52",'ANALITIKA EU PROJEKATA'!$P$3:$P$498,"=372")</f>
        <v>0</v>
      </c>
      <c r="L32" s="138">
        <f>SUMIFS('Plan rashoda za unos u SAP'!$I$3:$I$501,'Plan rashoda za unos u SAP'!$C$3:$C$501,"=552",'Plan rashoda za unos u SAP'!$M$3:$M$501,"=372")+SUMIFS('ANALITIKA EU PROJEKATA'!$G$3:$G$498,'ANALITIKA EU PROJEKATA'!$A$3:$A$498,"=552",'ANALITIKA EU PROJEKATA'!$P$3:$P$498,"=372")</f>
        <v>0</v>
      </c>
      <c r="M32" s="138">
        <f>SUMIFS('Plan rashoda za unos u SAP'!$I$3:$I$501,'Plan rashoda za unos u SAP'!$C$3:$C$501,"=559",'Plan rashoda za unos u SAP'!$M$3:$M$501,"=372")+SUMIFS('ANALITIKA EU PROJEKATA'!$G$3:$G$498,'ANALITIKA EU PROJEKATA'!$A$3:$A$498,"=559",'ANALITIKA EU PROJEKATA'!$P$3:$P$498,"=372")</f>
        <v>0</v>
      </c>
      <c r="N32" s="138">
        <f>SUMIFS('Plan rashoda za unos u SAP'!$I$3:$I$501,'Plan rashoda za unos u SAP'!$C$3:$C$501,"=561",'Plan rashoda za unos u SAP'!$M$3:$M$501,"=372")+SUMIFS('ANALITIKA EU PROJEKATA'!$G$3:$G$498,'ANALITIKA EU PROJEKATA'!$A$3:$A$498,"=561",'ANALITIKA EU PROJEKATA'!$P$3:$P$498,"=372")</f>
        <v>0</v>
      </c>
      <c r="O32" s="138">
        <f>SUMIFS('Plan rashoda za unos u SAP'!$I$3:$I$501,'Plan rashoda za unos u SAP'!$C$3:$C$501,"=563",'Plan rashoda za unos u SAP'!$M$3:$M$501,"=372")+SUMIFS('ANALITIKA EU PROJEKATA'!$G$3:$G$498,'ANALITIKA EU PROJEKATA'!$A$3:$A$498,"=563",'ANALITIKA EU PROJEKATA'!$P$3:$P$498,"=372")</f>
        <v>0</v>
      </c>
      <c r="P32" s="138">
        <f>SUMIFS('Plan rashoda za unos u SAP'!$I$3:$I$501,'Plan rashoda za unos u SAP'!$C$3:$C$501,"=573",'Plan rashoda za unos u SAP'!$M$3:$M$501,"=372")+SUMIFS('ANALITIKA EU PROJEKATA'!$G$3:$G$498,'ANALITIKA EU PROJEKATA'!$A$3:$A$498,"=573",'ANALITIKA EU PROJEKATA'!$P$3:$P$498,"=372")</f>
        <v>0</v>
      </c>
      <c r="Q32" s="138">
        <f>SUMIFS('Plan rashoda za unos u SAP'!$I$3:$I$501,'Plan rashoda za unos u SAP'!$C$3:$C$501,"=575",'Plan rashoda za unos u SAP'!$M$3:$M$501,"=372")+SUMIFS('ANALITIKA EU PROJEKATA'!$G$3:$G$498,'ANALITIKA EU PROJEKATA'!$A$3:$A$498,"=575",'ANALITIKA EU PROJEKATA'!$P$3:$P$498,"=372")</f>
        <v>0</v>
      </c>
      <c r="R32" s="138">
        <f>SUMIFS('Plan rashoda za unos u SAP'!$I$3:$I$501,'Plan rashoda za unos u SAP'!$C$3:$C$501,"=576",'Plan rashoda za unos u SAP'!$M$3:$M$501,"=372")+SUMIFS('ANALITIKA EU PROJEKATA'!$G$3:$G$498,'ANALITIKA EU PROJEKATA'!$A$3:$A$498,"=576",'ANALITIKA EU PROJEKATA'!$P$3:$P$498,"=372")</f>
        <v>0</v>
      </c>
      <c r="S32" s="138">
        <f>SUMIFS('Plan rashoda za unos u SAP'!$I$3:$I$501,'Plan rashoda za unos u SAP'!$C$3:$C$501,"=581",'Plan rashoda za unos u SAP'!$M$3:$M$501,"=372")+SUMIFS('ANALITIKA EU PROJEKATA'!$G$3:$G$498,'ANALITIKA EU PROJEKATA'!$A$3:$A$498,"=581",'ANALITIKA EU PROJEKATA'!$P$3:$P$498,"=372")</f>
        <v>0</v>
      </c>
      <c r="T32" s="138">
        <f>SUMIFS('Plan rashoda za unos u SAP'!$I$3:$I$501,'Plan rashoda za unos u SAP'!$C$3:$C$501,"=61",'Plan rashoda za unos u SAP'!$M$3:$M$501,"=372")+SUMIFS('ANALITIKA EU PROJEKATA'!$G$3:$G$498,'ANALITIKA EU PROJEKATA'!$A$3:$A$498,"=61",'ANALITIKA EU PROJEKATA'!$P$3:$P$498,"=372")</f>
        <v>0</v>
      </c>
      <c r="U32" s="138">
        <f>SUMIFS('Plan rashoda za unos u SAP'!$I$3:$I$501,'Plan rashoda za unos u SAP'!$C$3:$C$501,"=63",'Plan rashoda za unos u SAP'!$M$3:$M$501,"=372")+SUMIFS('ANALITIKA EU PROJEKATA'!$G$3:$G$498,'ANALITIKA EU PROJEKATA'!$A$3:$A$498,"=63",'ANALITIKA EU PROJEKATA'!$P$3:$P$498,"=372")</f>
        <v>0</v>
      </c>
      <c r="V32" s="138">
        <f>SUMIFS('Plan rashoda za unos u SAP'!$I$3:$I$501,'Plan rashoda za unos u SAP'!$C$3:$C$501,"=71",'Plan rashoda za unos u SAP'!$M$3:$M$501,"=372")+SUMIFS('ANALITIKA EU PROJEKATA'!$G$3:$G$498,'ANALITIKA EU PROJEKATA'!$A$3:$A$498,"=71",'ANALITIKA EU PROJEKATA'!$P$3:$P$498,"=372")</f>
        <v>0</v>
      </c>
      <c r="W32" s="138">
        <f>SUMIFS('Plan rashoda za unos u SAP'!$I$3:$I$501,'Plan rashoda za unos u SAP'!$C$3:$C$501,"=81",'Plan rashoda za unos u SAP'!$M$3:$M$501,"=372")+SUMIFS('ANALITIKA EU PROJEKATA'!$G$3:$G$498,'ANALITIKA EU PROJEKATA'!$A$3:$A$498,"=81",'ANALITIKA EU PROJEKATA'!$P$3:$P$498,"=372")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35775</v>
      </c>
      <c r="E33" s="4">
        <f t="shared" ref="E33:W33" si="9">SUM(E34:E37)</f>
        <v>0</v>
      </c>
      <c r="F33" s="4">
        <f t="shared" si="9"/>
        <v>5366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30409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35775</v>
      </c>
      <c r="E34" s="138">
        <f>SUMIFS('Plan rashoda za unos u SAP'!$I$3:$I$501,'Plan rashoda za unos u SAP'!$C$3:$C$501,"=11",'Plan rashoda za unos u SAP'!$M$3:$M$501,"=381")+SUMIFS('ANALITIKA EU PROJEKATA'!$G$3:$G$498,'ANALITIKA EU PROJEKATA'!$A$3:$A$498,"=11",'ANALITIKA EU PROJEKATA'!$P$3:$P$498,"=381")</f>
        <v>0</v>
      </c>
      <c r="F34" s="138">
        <f>SUMIFS('Plan rashoda za unos u SAP'!$I$3:$I$501,'Plan rashoda za unos u SAP'!$C$3:$C$501,"=12",'Plan rashoda za unos u SAP'!$M$3:$M$501,"=381")+SUMIFS('ANALITIKA EU PROJEKATA'!$G$3:$G$498,'ANALITIKA EU PROJEKATA'!$A$3:$A$498,"=12",'ANALITIKA EU PROJEKATA'!$P$3:$P$498,"=381")</f>
        <v>5366</v>
      </c>
      <c r="G34" s="138">
        <f>SUMIFS('Plan rashoda za unos u SAP'!$I$3:$I$501,'Plan rashoda za unos u SAP'!$C$3:$C$501,"=31",'Plan rashoda za unos u SAP'!$M$3:$M$501,"=381")+SUMIFS('ANALITIKA EU PROJEKATA'!$G$3:$G$498,'ANALITIKA EU PROJEKATA'!$A$3:$A$498,"=31",'ANALITIKA EU PROJEKATA'!$P$3:$P$498,"=381")</f>
        <v>0</v>
      </c>
      <c r="H34" s="138">
        <f>SUMIFS('Plan rashoda za unos u SAP'!$I$3:$I$501,'Plan rashoda za unos u SAP'!$C$3:$C$501,"=41",'Plan rashoda za unos u SAP'!$M$3:$M$501,"=381")+SUMIFS('ANALITIKA EU PROJEKATA'!$G$3:$G$498,'ANALITIKA EU PROJEKATA'!$A$3:$A$498,"=41",'ANALITIKA EU PROJEKATA'!$P$3:$P$498,"=381")</f>
        <v>0</v>
      </c>
      <c r="I34" s="138">
        <f>SUMIFS('Plan rashoda za unos u SAP'!$I$3:$I$501,'Plan rashoda za unos u SAP'!$C$3:$C$501,"=43",'Plan rashoda za unos u SAP'!$M$3:$M$501,"=381")+SUMIFS('ANALITIKA EU PROJEKATA'!$G$3:$G$498,'ANALITIKA EU PROJEKATA'!$A$3:$A$498,"=43",'ANALITIKA EU PROJEKATA'!$P$3:$P$498,"=381")</f>
        <v>0</v>
      </c>
      <c r="J34" s="138">
        <f>SUMIFS('Plan rashoda za unos u SAP'!$I$3:$I$501,'Plan rashoda za unos u SAP'!$C$3:$C$501,"=51",'Plan rashoda za unos u SAP'!$M$3:$M$501,"=381")+SUMIFS('ANALITIKA EU PROJEKATA'!$G$3:$G$498,'ANALITIKA EU PROJEKATA'!$A$3:$A$498,"=51",'ANALITIKA EU PROJEKATA'!$P$3:$P$498,"=381")</f>
        <v>0</v>
      </c>
      <c r="K34" s="138">
        <f>SUMIFS('Plan rashoda za unos u SAP'!$I$3:$I$501,'Plan rashoda za unos u SAP'!$C$3:$C$501,"=52",'Plan rashoda za unos u SAP'!$M$3:$M$501,"=381")+SUMIFS('ANALITIKA EU PROJEKATA'!$G$3:$G$498,'ANALITIKA EU PROJEKATA'!$A$3:$A$498,"=52",'ANALITIKA EU PROJEKATA'!$P$3:$P$498,"=381")</f>
        <v>0</v>
      </c>
      <c r="L34" s="138">
        <f>SUMIFS('Plan rashoda za unos u SAP'!$I$3:$I$501,'Plan rashoda za unos u SAP'!$C$3:$C$501,"=552",'Plan rashoda za unos u SAP'!$M$3:$M$501,"=381")+SUMIFS('ANALITIKA EU PROJEKATA'!$G$3:$G$498,'ANALITIKA EU PROJEKATA'!$A$3:$A$498,"=552",'ANALITIKA EU PROJEKATA'!$P$3:$P$498,"=381")</f>
        <v>0</v>
      </c>
      <c r="M34" s="138">
        <f>SUMIFS('Plan rashoda za unos u SAP'!$I$3:$I$501,'Plan rashoda za unos u SAP'!$C$3:$C$501,"=559",'Plan rashoda za unos u SAP'!$M$3:$M$501,"=381")+SUMIFS('ANALITIKA EU PROJEKATA'!$G$3:$G$498,'ANALITIKA EU PROJEKATA'!$A$3:$A$498,"=559",'ANALITIKA EU PROJEKATA'!$P$3:$P$498,"=381")</f>
        <v>0</v>
      </c>
      <c r="N34" s="138">
        <f>SUMIFS('Plan rashoda za unos u SAP'!$I$3:$I$501,'Plan rashoda za unos u SAP'!$C$3:$C$501,"=561",'Plan rashoda za unos u SAP'!$M$3:$M$501,"=381")+SUMIFS('ANALITIKA EU PROJEKATA'!$G$3:$G$498,'ANALITIKA EU PROJEKATA'!$A$3:$A$498,"=561",'ANALITIKA EU PROJEKATA'!$P$3:$P$498,"=381")</f>
        <v>30409</v>
      </c>
      <c r="O34" s="138">
        <f>SUMIFS('Plan rashoda za unos u SAP'!$I$3:$I$501,'Plan rashoda za unos u SAP'!$C$3:$C$501,"=563",'Plan rashoda za unos u SAP'!$M$3:$M$501,"=381")+SUMIFS('ANALITIKA EU PROJEKATA'!$G$3:$G$498,'ANALITIKA EU PROJEKATA'!$A$3:$A$498,"=563",'ANALITIKA EU PROJEKATA'!$P$3:$P$498,"=381")</f>
        <v>0</v>
      </c>
      <c r="P34" s="138">
        <f>SUMIFS('Plan rashoda za unos u SAP'!$I$3:$I$501,'Plan rashoda za unos u SAP'!$C$3:$C$501,"=573",'Plan rashoda za unos u SAP'!$M$3:$M$501,"=381")+SUMIFS('ANALITIKA EU PROJEKATA'!$G$3:$G$498,'ANALITIKA EU PROJEKATA'!$A$3:$A$498,"=573",'ANALITIKA EU PROJEKATA'!$P$3:$P$498,"=381")</f>
        <v>0</v>
      </c>
      <c r="Q34" s="138">
        <f>SUMIFS('Plan rashoda za unos u SAP'!$I$3:$I$501,'Plan rashoda za unos u SAP'!$C$3:$C$501,"=575",'Plan rashoda za unos u SAP'!$M$3:$M$501,"=381")+SUMIFS('ANALITIKA EU PROJEKATA'!$G$3:$G$498,'ANALITIKA EU PROJEKATA'!$A$3:$A$498,"=575",'ANALITIKA EU PROJEKATA'!$P$3:$P$498,"=381")</f>
        <v>0</v>
      </c>
      <c r="R34" s="138">
        <f>SUMIFS('Plan rashoda za unos u SAP'!$I$3:$I$501,'Plan rashoda za unos u SAP'!$C$3:$C$501,"=576",'Plan rashoda za unos u SAP'!$M$3:$M$501,"=381")+SUMIFS('ANALITIKA EU PROJEKATA'!$G$3:$G$498,'ANALITIKA EU PROJEKATA'!$A$3:$A$498,"=576",'ANALITIKA EU PROJEKATA'!$P$3:$P$498,"=381")</f>
        <v>0</v>
      </c>
      <c r="S34" s="138">
        <f>SUMIFS('Plan rashoda za unos u SAP'!$I$3:$I$501,'Plan rashoda za unos u SAP'!$C$3:$C$501,"=581",'Plan rashoda za unos u SAP'!$M$3:$M$501,"=381")+SUMIFS('ANALITIKA EU PROJEKATA'!$G$3:$G$498,'ANALITIKA EU PROJEKATA'!$A$3:$A$498,"=581",'ANALITIKA EU PROJEKATA'!$P$3:$P$498,"=381")</f>
        <v>0</v>
      </c>
      <c r="T34" s="138">
        <f>SUMIFS('Plan rashoda za unos u SAP'!$I$3:$I$501,'Plan rashoda za unos u SAP'!$C$3:$C$501,"=61",'Plan rashoda za unos u SAP'!$M$3:$M$501,"=381")+SUMIFS('ANALITIKA EU PROJEKATA'!$G$3:$G$498,'ANALITIKA EU PROJEKATA'!$A$3:$A$498,"=61",'ANALITIKA EU PROJEKATA'!$P$3:$P$498,"=381")</f>
        <v>0</v>
      </c>
      <c r="U34" s="138">
        <f>SUMIFS('Plan rashoda za unos u SAP'!$I$3:$I$501,'Plan rashoda za unos u SAP'!$C$3:$C$501,"=63",'Plan rashoda za unos u SAP'!$M$3:$M$501,"=381")+SUMIFS('ANALITIKA EU PROJEKATA'!$G$3:$G$498,'ANALITIKA EU PROJEKATA'!$A$3:$A$498,"=63",'ANALITIKA EU PROJEKATA'!$P$3:$P$498,"=381")</f>
        <v>0</v>
      </c>
      <c r="V34" s="138">
        <f>SUMIFS('Plan rashoda za unos u SAP'!$I$3:$I$501,'Plan rashoda za unos u SAP'!$C$3:$C$501,"=71",'Plan rashoda za unos u SAP'!$M$3:$M$501,"=381")+SUMIFS('ANALITIKA EU PROJEKATA'!$G$3:$G$498,'ANALITIKA EU PROJEKATA'!$A$3:$A$498,"=71",'ANALITIKA EU PROJEKATA'!$P$3:$P$498,"=381")</f>
        <v>0</v>
      </c>
      <c r="W34" s="138">
        <f>SUMIFS('Plan rashoda za unos u SAP'!$I$3:$I$501,'Plan rashoda za unos u SAP'!$C$3:$C$501,"=81",'Plan rashoda za unos u SAP'!$M$3:$M$501,"=381")+SUMIFS('ANALITIKA EU PROJEKATA'!$G$3:$G$498,'ANALITIKA EU PROJEKATA'!$A$3:$A$498,"=81",'ANALITIKA EU PROJEKATA'!$P$3:$P$498,"=381")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PROJEKATA'!$G$3:$G$498,'ANALITIKA EU PROJEKATA'!$A$3:$A$498,"=11",'ANALITIKA EU PROJEKATA'!$P$3:$P$498,"=382")</f>
        <v>0</v>
      </c>
      <c r="F35" s="138">
        <f>SUMIFS('Plan rashoda za unos u SAP'!$I$3:$I$501,'Plan rashoda za unos u SAP'!$C$3:$C$501,"=12",'Plan rashoda za unos u SAP'!$M$3:$M$501,"=382")+SUMIFS('ANALITIKA EU PROJEKATA'!$G$3:$G$498,'ANALITIKA EU PROJEKATA'!$A$3:$A$498,"=12",'ANALITIKA EU PROJEKATA'!$P$3:$P$498,"=382")</f>
        <v>0</v>
      </c>
      <c r="G35" s="138">
        <f>SUMIFS('Plan rashoda za unos u SAP'!$I$3:$I$501,'Plan rashoda za unos u SAP'!$C$3:$C$501,"=31",'Plan rashoda za unos u SAP'!$M$3:$M$501,"=382")+SUMIFS('ANALITIKA EU PROJEKATA'!$G$3:$G$498,'ANALITIKA EU PROJEKATA'!$A$3:$A$498,"=31",'ANALITIKA EU PROJEKATA'!$P$3:$P$498,"=382")</f>
        <v>0</v>
      </c>
      <c r="H35" s="138">
        <f>SUMIFS('Plan rashoda za unos u SAP'!$I$3:$I$501,'Plan rashoda za unos u SAP'!$C$3:$C$501,"=41",'Plan rashoda za unos u SAP'!$M$3:$M$501,"=382")+SUMIFS('ANALITIKA EU PROJEKATA'!$G$3:$G$498,'ANALITIKA EU PROJEKATA'!$A$3:$A$498,"=41",'ANALITIKA EU PROJEKATA'!$P$3:$P$498,"=382")</f>
        <v>0</v>
      </c>
      <c r="I35" s="138">
        <f>SUMIFS('Plan rashoda za unos u SAP'!$I$3:$I$501,'Plan rashoda za unos u SAP'!$C$3:$C$501,"=43",'Plan rashoda za unos u SAP'!$M$3:$M$501,"=382")+SUMIFS('ANALITIKA EU PROJEKATA'!$G$3:$G$498,'ANALITIKA EU PROJEKATA'!$A$3:$A$498,"=43",'ANALITIKA EU PROJEKATA'!$P$3:$P$498,"=382")</f>
        <v>0</v>
      </c>
      <c r="J35" s="138">
        <f>SUMIFS('Plan rashoda za unos u SAP'!$I$3:$I$501,'Plan rashoda za unos u SAP'!$C$3:$C$501,"=51",'Plan rashoda za unos u SAP'!$M$3:$M$501,"=382")+SUMIFS('ANALITIKA EU PROJEKATA'!$G$3:$G$498,'ANALITIKA EU PROJEKATA'!$A$3:$A$498,"=51",'ANALITIKA EU PROJEKATA'!$P$3:$P$498,"=382")</f>
        <v>0</v>
      </c>
      <c r="K35" s="138">
        <f>SUMIFS('Plan rashoda za unos u SAP'!$I$3:$I$501,'Plan rashoda za unos u SAP'!$C$3:$C$501,"=52",'Plan rashoda za unos u SAP'!$M$3:$M$501,"=382")+SUMIFS('ANALITIKA EU PROJEKATA'!$G$3:$G$498,'ANALITIKA EU PROJEKATA'!$A$3:$A$498,"=52",'ANALITIKA EU PROJEKATA'!$P$3:$P$498,"=382")</f>
        <v>0</v>
      </c>
      <c r="L35" s="138">
        <f>SUMIFS('Plan rashoda za unos u SAP'!$I$3:$I$501,'Plan rashoda za unos u SAP'!$C$3:$C$501,"=552",'Plan rashoda za unos u SAP'!$M$3:$M$501,"=382")+SUMIFS('ANALITIKA EU PROJEKATA'!$G$3:$G$498,'ANALITIKA EU PROJEKATA'!$A$3:$A$498,"=552",'ANALITIKA EU PROJEKATA'!$P$3:$P$498,"=382")</f>
        <v>0</v>
      </c>
      <c r="M35" s="138">
        <f>SUMIFS('Plan rashoda za unos u SAP'!$I$3:$I$501,'Plan rashoda za unos u SAP'!$C$3:$C$501,"=559",'Plan rashoda za unos u SAP'!$M$3:$M$501,"=382")+SUMIFS('ANALITIKA EU PROJEKATA'!$G$3:$G$498,'ANALITIKA EU PROJEKATA'!$A$3:$A$498,"=559",'ANALITIKA EU PROJEKATA'!$P$3:$P$498,"=382")</f>
        <v>0</v>
      </c>
      <c r="N35" s="138">
        <f>SUMIFS('Plan rashoda za unos u SAP'!$I$3:$I$501,'Plan rashoda za unos u SAP'!$C$3:$C$501,"=561",'Plan rashoda za unos u SAP'!$M$3:$M$501,"=382")+SUMIFS('ANALITIKA EU PROJEKATA'!$G$3:$G$498,'ANALITIKA EU PROJEKATA'!$A$3:$A$498,"=561",'ANALITIKA EU PROJEKATA'!$P$3:$P$498,"=382")</f>
        <v>0</v>
      </c>
      <c r="O35" s="138">
        <f>SUMIFS('Plan rashoda za unos u SAP'!$I$3:$I$501,'Plan rashoda za unos u SAP'!$C$3:$C$501,"=563",'Plan rashoda za unos u SAP'!$M$3:$M$501,"=382")+SUMIFS('ANALITIKA EU PROJEKATA'!$G$3:$G$498,'ANALITIKA EU PROJEKATA'!$A$3:$A$498,"=563",'ANALITIKA EU PROJEKATA'!$P$3:$P$498,"=382")</f>
        <v>0</v>
      </c>
      <c r="P35" s="138">
        <f>SUMIFS('Plan rashoda za unos u SAP'!$I$3:$I$501,'Plan rashoda za unos u SAP'!$C$3:$C$501,"=573",'Plan rashoda za unos u SAP'!$M$3:$M$501,"=382")+SUMIFS('ANALITIKA EU PROJEKATA'!$G$3:$G$498,'ANALITIKA EU PROJEKATA'!$A$3:$A$498,"=573",'ANALITIKA EU PROJEKATA'!$P$3:$P$498,"=382")</f>
        <v>0</v>
      </c>
      <c r="Q35" s="138">
        <f>SUMIFS('Plan rashoda za unos u SAP'!$I$3:$I$501,'Plan rashoda za unos u SAP'!$C$3:$C$501,"=575",'Plan rashoda za unos u SAP'!$M$3:$M$501,"=382")+SUMIFS('ANALITIKA EU PROJEKATA'!$G$3:$G$498,'ANALITIKA EU PROJEKATA'!$A$3:$A$498,"=575",'ANALITIKA EU PROJEKATA'!$P$3:$P$498,"=382")</f>
        <v>0</v>
      </c>
      <c r="R35" s="138">
        <f>SUMIFS('Plan rashoda za unos u SAP'!$I$3:$I$501,'Plan rashoda za unos u SAP'!$C$3:$C$501,"=576",'Plan rashoda za unos u SAP'!$M$3:$M$501,"=382")+SUMIFS('ANALITIKA EU PROJEKATA'!$G$3:$G$498,'ANALITIKA EU PROJEKATA'!$A$3:$A$498,"=576",'ANALITIKA EU PROJEKATA'!$P$3:$P$498,"=382")</f>
        <v>0</v>
      </c>
      <c r="S35" s="138">
        <f>SUMIFS('Plan rashoda za unos u SAP'!$I$3:$I$501,'Plan rashoda za unos u SAP'!$C$3:$C$501,"=581",'Plan rashoda za unos u SAP'!$M$3:$M$501,"=382")+SUMIFS('ANALITIKA EU PROJEKATA'!$G$3:$G$498,'ANALITIKA EU PROJEKATA'!$A$3:$A$498,"=581",'ANALITIKA EU PROJEKATA'!$P$3:$P$498,"=382")</f>
        <v>0</v>
      </c>
      <c r="T35" s="138">
        <f>SUMIFS('Plan rashoda za unos u SAP'!$I$3:$I$501,'Plan rashoda za unos u SAP'!$C$3:$C$501,"=61",'Plan rashoda za unos u SAP'!$M$3:$M$501,"=382")+SUMIFS('ANALITIKA EU PROJEKATA'!$G$3:$G$498,'ANALITIKA EU PROJEKATA'!$A$3:$A$498,"=61",'ANALITIKA EU PROJEKATA'!$P$3:$P$498,"=382")</f>
        <v>0</v>
      </c>
      <c r="U35" s="138">
        <f>SUMIFS('Plan rashoda za unos u SAP'!$I$3:$I$501,'Plan rashoda za unos u SAP'!$C$3:$C$501,"=63",'Plan rashoda za unos u SAP'!$M$3:$M$501,"=382")+SUMIFS('ANALITIKA EU PROJEKATA'!$G$3:$G$498,'ANALITIKA EU PROJEKATA'!$A$3:$A$498,"=63",'ANALITIKA EU PROJEKATA'!$P$3:$P$498,"=382")</f>
        <v>0</v>
      </c>
      <c r="V35" s="138">
        <f>SUMIFS('Plan rashoda za unos u SAP'!$I$3:$I$501,'Plan rashoda za unos u SAP'!$C$3:$C$501,"=71",'Plan rashoda za unos u SAP'!$M$3:$M$501,"=382")+SUMIFS('ANALITIKA EU PROJEKATA'!$G$3:$G$498,'ANALITIKA EU PROJEKATA'!$A$3:$A$498,"=71",'ANALITIKA EU PROJEKATA'!$P$3:$P$498,"=382")</f>
        <v>0</v>
      </c>
      <c r="W35" s="138">
        <f>SUMIFS('Plan rashoda za unos u SAP'!$I$3:$I$501,'Plan rashoda za unos u SAP'!$C$3:$C$501,"=81",'Plan rashoda za unos u SAP'!$M$3:$M$501,"=382")+SUMIFS('ANALITIKA EU PROJEKATA'!$G$3:$G$498,'ANALITIKA EU PROJEKATA'!$A$3:$A$498,"=81",'ANALITIKA EU PROJEKATA'!$P$3:$P$498,"=382")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PROJEKATA'!$G$3:$G$498,'ANALITIKA EU PROJEKATA'!$A$3:$A$498,"=11",'ANALITIKA EU PROJEKATA'!$P$3:$P$498,"=383")</f>
        <v>0</v>
      </c>
      <c r="F36" s="138">
        <f>SUMIFS('Plan rashoda za unos u SAP'!$I$3:$I$501,'Plan rashoda za unos u SAP'!$C$3:$C$501,"=12",'Plan rashoda za unos u SAP'!$M$3:$M$501,"=383")+SUMIFS('ANALITIKA EU PROJEKATA'!$G$3:$G$498,'ANALITIKA EU PROJEKATA'!$A$3:$A$498,"=12",'ANALITIKA EU PROJEKATA'!$P$3:$P$498,"=383")</f>
        <v>0</v>
      </c>
      <c r="G36" s="138">
        <f>SUMIFS('Plan rashoda za unos u SAP'!$I$3:$I$501,'Plan rashoda za unos u SAP'!$C$3:$C$501,"=31",'Plan rashoda za unos u SAP'!$M$3:$M$501,"=383")+SUMIFS('ANALITIKA EU PROJEKATA'!$G$3:$G$498,'ANALITIKA EU PROJEKATA'!$A$3:$A$498,"=31",'ANALITIKA EU PROJEKATA'!$P$3:$P$498,"=383")</f>
        <v>0</v>
      </c>
      <c r="H36" s="138">
        <f>SUMIFS('Plan rashoda za unos u SAP'!$I$3:$I$501,'Plan rashoda za unos u SAP'!$C$3:$C$501,"=41",'Plan rashoda za unos u SAP'!$M$3:$M$501,"=383")+SUMIFS('ANALITIKA EU PROJEKATA'!$G$3:$G$498,'ANALITIKA EU PROJEKATA'!$A$3:$A$498,"=41",'ANALITIKA EU PROJEKATA'!$P$3:$P$498,"=383")</f>
        <v>0</v>
      </c>
      <c r="I36" s="138">
        <f>SUMIFS('Plan rashoda za unos u SAP'!$I$3:$I$501,'Plan rashoda za unos u SAP'!$C$3:$C$501,"=43",'Plan rashoda za unos u SAP'!$M$3:$M$501,"=383")+SUMIFS('ANALITIKA EU PROJEKATA'!$G$3:$G$498,'ANALITIKA EU PROJEKATA'!$A$3:$A$498,"=43",'ANALITIKA EU PROJEKATA'!$P$3:$P$498,"=383")</f>
        <v>0</v>
      </c>
      <c r="J36" s="138">
        <f>SUMIFS('Plan rashoda za unos u SAP'!$I$3:$I$501,'Plan rashoda za unos u SAP'!$C$3:$C$501,"=51",'Plan rashoda za unos u SAP'!$M$3:$M$501,"=383")+SUMIFS('ANALITIKA EU PROJEKATA'!$G$3:$G$498,'ANALITIKA EU PROJEKATA'!$A$3:$A$498,"=51",'ANALITIKA EU PROJEKATA'!$P$3:$P$498,"=383")</f>
        <v>0</v>
      </c>
      <c r="K36" s="138">
        <f>SUMIFS('Plan rashoda za unos u SAP'!$I$3:$I$501,'Plan rashoda za unos u SAP'!$C$3:$C$501,"=52",'Plan rashoda za unos u SAP'!$M$3:$M$501,"=383")+SUMIFS('ANALITIKA EU PROJEKATA'!$G$3:$G$498,'ANALITIKA EU PROJEKATA'!$A$3:$A$498,"=52",'ANALITIKA EU PROJEKATA'!$P$3:$P$498,"=383")</f>
        <v>0</v>
      </c>
      <c r="L36" s="138">
        <f>SUMIFS('Plan rashoda za unos u SAP'!$I$3:$I$501,'Plan rashoda za unos u SAP'!$C$3:$C$501,"=552",'Plan rashoda za unos u SAP'!$M$3:$M$501,"=383")+SUMIFS('ANALITIKA EU PROJEKATA'!$G$3:$G$498,'ANALITIKA EU PROJEKATA'!$A$3:$A$498,"=552",'ANALITIKA EU PROJEKATA'!$P$3:$P$498,"=383")</f>
        <v>0</v>
      </c>
      <c r="M36" s="138">
        <f>SUMIFS('Plan rashoda za unos u SAP'!$I$3:$I$501,'Plan rashoda za unos u SAP'!$C$3:$C$501,"=559",'Plan rashoda za unos u SAP'!$M$3:$M$501,"=383")+SUMIFS('ANALITIKA EU PROJEKATA'!$G$3:$G$498,'ANALITIKA EU PROJEKATA'!$A$3:$A$498,"=559",'ANALITIKA EU PROJEKATA'!$P$3:$P$498,"=383")</f>
        <v>0</v>
      </c>
      <c r="N36" s="138">
        <f>SUMIFS('Plan rashoda za unos u SAP'!$I$3:$I$501,'Plan rashoda za unos u SAP'!$C$3:$C$501,"=561",'Plan rashoda za unos u SAP'!$M$3:$M$501,"=383")+SUMIFS('ANALITIKA EU PROJEKATA'!$G$3:$G$498,'ANALITIKA EU PROJEKATA'!$A$3:$A$498,"=561",'ANALITIKA EU PROJEKATA'!$P$3:$P$498,"=383")</f>
        <v>0</v>
      </c>
      <c r="O36" s="138">
        <f>SUMIFS('Plan rashoda za unos u SAP'!$I$3:$I$501,'Plan rashoda za unos u SAP'!$C$3:$C$501,"=563",'Plan rashoda za unos u SAP'!$M$3:$M$501,"=383")+SUMIFS('ANALITIKA EU PROJEKATA'!$G$3:$G$498,'ANALITIKA EU PROJEKATA'!$A$3:$A$498,"=563",'ANALITIKA EU PROJEKATA'!$P$3:$P$498,"=383")</f>
        <v>0</v>
      </c>
      <c r="P36" s="138">
        <f>SUMIFS('Plan rashoda za unos u SAP'!$I$3:$I$501,'Plan rashoda za unos u SAP'!$C$3:$C$501,"=573",'Plan rashoda za unos u SAP'!$M$3:$M$501,"=383")+SUMIFS('ANALITIKA EU PROJEKATA'!$G$3:$G$498,'ANALITIKA EU PROJEKATA'!$A$3:$A$498,"=573",'ANALITIKA EU PROJEKATA'!$P$3:$P$498,"=383")</f>
        <v>0</v>
      </c>
      <c r="Q36" s="138">
        <f>SUMIFS('Plan rashoda za unos u SAP'!$I$3:$I$501,'Plan rashoda za unos u SAP'!$C$3:$C$501,"=575",'Plan rashoda za unos u SAP'!$M$3:$M$501,"=383")+SUMIFS('ANALITIKA EU PROJEKATA'!$G$3:$G$498,'ANALITIKA EU PROJEKATA'!$A$3:$A$498,"=575",'ANALITIKA EU PROJEKATA'!$P$3:$P$498,"=383")</f>
        <v>0</v>
      </c>
      <c r="R36" s="138">
        <f>SUMIFS('Plan rashoda za unos u SAP'!$I$3:$I$501,'Plan rashoda za unos u SAP'!$C$3:$C$501,"=576",'Plan rashoda za unos u SAP'!$M$3:$M$501,"=383")+SUMIFS('ANALITIKA EU PROJEKATA'!$G$3:$G$498,'ANALITIKA EU PROJEKATA'!$A$3:$A$498,"=576",'ANALITIKA EU PROJEKATA'!$P$3:$P$498,"=383")</f>
        <v>0</v>
      </c>
      <c r="S36" s="138">
        <f>SUMIFS('Plan rashoda za unos u SAP'!$I$3:$I$501,'Plan rashoda za unos u SAP'!$C$3:$C$501,"=581",'Plan rashoda za unos u SAP'!$M$3:$M$501,"=383")+SUMIFS('ANALITIKA EU PROJEKATA'!$G$3:$G$498,'ANALITIKA EU PROJEKATA'!$A$3:$A$498,"=581",'ANALITIKA EU PROJEKATA'!$P$3:$P$498,"=383")</f>
        <v>0</v>
      </c>
      <c r="T36" s="138">
        <f>SUMIFS('Plan rashoda za unos u SAP'!$I$3:$I$501,'Plan rashoda za unos u SAP'!$C$3:$C$501,"=61",'Plan rashoda za unos u SAP'!$M$3:$M$501,"=383")+SUMIFS('ANALITIKA EU PROJEKATA'!$G$3:$G$498,'ANALITIKA EU PROJEKATA'!$A$3:$A$498,"=61",'ANALITIKA EU PROJEKATA'!$P$3:$P$498,"=383")</f>
        <v>0</v>
      </c>
      <c r="U36" s="138">
        <f>SUMIFS('Plan rashoda za unos u SAP'!$I$3:$I$501,'Plan rashoda za unos u SAP'!$C$3:$C$501,"=63",'Plan rashoda za unos u SAP'!$M$3:$M$501,"=383")+SUMIFS('ANALITIKA EU PROJEKATA'!$G$3:$G$498,'ANALITIKA EU PROJEKATA'!$A$3:$A$498,"=63",'ANALITIKA EU PROJEKATA'!$P$3:$P$498,"=383")</f>
        <v>0</v>
      </c>
      <c r="V36" s="138">
        <f>SUMIFS('Plan rashoda za unos u SAP'!$I$3:$I$501,'Plan rashoda za unos u SAP'!$C$3:$C$501,"=71",'Plan rashoda za unos u SAP'!$M$3:$M$501,"=383")+SUMIFS('ANALITIKA EU PROJEKATA'!$G$3:$G$498,'ANALITIKA EU PROJEKATA'!$A$3:$A$498,"=71",'ANALITIKA EU PROJEKATA'!$P$3:$P$498,"=383")</f>
        <v>0</v>
      </c>
      <c r="W36" s="138">
        <f>SUMIFS('Plan rashoda za unos u SAP'!$I$3:$I$501,'Plan rashoda za unos u SAP'!$C$3:$C$501,"=81",'Plan rashoda za unos u SAP'!$M$3:$M$501,"=383")+SUMIFS('ANALITIKA EU PROJEKATA'!$G$3:$G$498,'ANALITIKA EU PROJEKATA'!$A$3:$A$498,"=81",'ANALITIKA EU PROJEKATA'!$P$3:$P$498,"=383")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PROJEKATA'!$G$3:$G$498,'ANALITIKA EU PROJEKATA'!$A$3:$A$498,"=11",'ANALITIKA EU PROJEKATA'!$P$3:$P$498,"=386")</f>
        <v>0</v>
      </c>
      <c r="F37" s="138">
        <f>SUMIFS('Plan rashoda za unos u SAP'!$I$3:$I$501,'Plan rashoda za unos u SAP'!$C$3:$C$501,"=12",'Plan rashoda za unos u SAP'!$M$3:$M$501,"=386")+SUMIFS('ANALITIKA EU PROJEKATA'!$G$3:$G$498,'ANALITIKA EU PROJEKATA'!$A$3:$A$498,"=12",'ANALITIKA EU PROJEKATA'!$P$3:$P$498,"=386")</f>
        <v>0</v>
      </c>
      <c r="G37" s="138">
        <f>SUMIFS('Plan rashoda za unos u SAP'!$I$3:$I$501,'Plan rashoda za unos u SAP'!$C$3:$C$501,"=31",'Plan rashoda za unos u SAP'!$M$3:$M$501,"=386")+SUMIFS('ANALITIKA EU PROJEKATA'!$G$3:$G$498,'ANALITIKA EU PROJEKATA'!$A$3:$A$498,"=31",'ANALITIKA EU PROJEKATA'!$P$3:$P$498,"=386")</f>
        <v>0</v>
      </c>
      <c r="H37" s="138">
        <f>SUMIFS('Plan rashoda za unos u SAP'!$I$3:$I$501,'Plan rashoda za unos u SAP'!$C$3:$C$501,"=41",'Plan rashoda za unos u SAP'!$M$3:$M$501,"=386")+SUMIFS('ANALITIKA EU PROJEKATA'!$G$3:$G$498,'ANALITIKA EU PROJEKATA'!$A$3:$A$498,"=41",'ANALITIKA EU PROJEKATA'!$P$3:$P$498,"=386")</f>
        <v>0</v>
      </c>
      <c r="I37" s="138">
        <f>SUMIFS('Plan rashoda za unos u SAP'!$I$3:$I$501,'Plan rashoda za unos u SAP'!$C$3:$C$501,"=43",'Plan rashoda za unos u SAP'!$M$3:$M$501,"=386")+SUMIFS('ANALITIKA EU PROJEKATA'!$G$3:$G$498,'ANALITIKA EU PROJEKATA'!$A$3:$A$498,"=43",'ANALITIKA EU PROJEKATA'!$P$3:$P$498,"=386")</f>
        <v>0</v>
      </c>
      <c r="J37" s="138">
        <f>SUMIFS('Plan rashoda za unos u SAP'!$I$3:$I$501,'Plan rashoda za unos u SAP'!$C$3:$C$501,"=51",'Plan rashoda za unos u SAP'!$M$3:$M$501,"=386")+SUMIFS('ANALITIKA EU PROJEKATA'!$G$3:$G$498,'ANALITIKA EU PROJEKATA'!$A$3:$A$498,"=51",'ANALITIKA EU PROJEKATA'!$P$3:$P$498,"=386")</f>
        <v>0</v>
      </c>
      <c r="K37" s="138">
        <f>SUMIFS('Plan rashoda za unos u SAP'!$I$3:$I$501,'Plan rashoda za unos u SAP'!$C$3:$C$501,"=52",'Plan rashoda za unos u SAP'!$M$3:$M$501,"=386")+SUMIFS('ANALITIKA EU PROJEKATA'!$G$3:$G$498,'ANALITIKA EU PROJEKATA'!$A$3:$A$498,"=52",'ANALITIKA EU PROJEKATA'!$P$3:$P$498,"=386")</f>
        <v>0</v>
      </c>
      <c r="L37" s="138">
        <f>SUMIFS('Plan rashoda za unos u SAP'!$I$3:$I$501,'Plan rashoda za unos u SAP'!$C$3:$C$501,"=552",'Plan rashoda za unos u SAP'!$M$3:$M$501,"=386")+SUMIFS('ANALITIKA EU PROJEKATA'!$G$3:$G$498,'ANALITIKA EU PROJEKATA'!$A$3:$A$498,"=552",'ANALITIKA EU PROJEKATA'!$P$3:$P$498,"=386")</f>
        <v>0</v>
      </c>
      <c r="M37" s="138">
        <f>SUMIFS('Plan rashoda za unos u SAP'!$I$3:$I$501,'Plan rashoda za unos u SAP'!$C$3:$C$501,"=559",'Plan rashoda za unos u SAP'!$M$3:$M$501,"=386")+SUMIFS('ANALITIKA EU PROJEKATA'!$G$3:$G$498,'ANALITIKA EU PROJEKATA'!$A$3:$A$498,"=559",'ANALITIKA EU PROJEKATA'!$P$3:$P$498,"=386")</f>
        <v>0</v>
      </c>
      <c r="N37" s="138">
        <f>SUMIFS('Plan rashoda za unos u SAP'!$I$3:$I$501,'Plan rashoda za unos u SAP'!$C$3:$C$501,"=561",'Plan rashoda za unos u SAP'!$M$3:$M$501,"=386")+SUMIFS('ANALITIKA EU PROJEKATA'!$G$3:$G$498,'ANALITIKA EU PROJEKATA'!$A$3:$A$498,"=561",'ANALITIKA EU PROJEKATA'!$P$3:$P$498,"=386")</f>
        <v>0</v>
      </c>
      <c r="O37" s="138">
        <f>SUMIFS('Plan rashoda za unos u SAP'!$I$3:$I$501,'Plan rashoda za unos u SAP'!$C$3:$C$501,"=563",'Plan rashoda za unos u SAP'!$M$3:$M$501,"=386")+SUMIFS('ANALITIKA EU PROJEKATA'!$G$3:$G$498,'ANALITIKA EU PROJEKATA'!$A$3:$A$498,"=563",'ANALITIKA EU PROJEKATA'!$P$3:$P$498,"=386")</f>
        <v>0</v>
      </c>
      <c r="P37" s="138">
        <f>SUMIFS('Plan rashoda za unos u SAP'!$I$3:$I$501,'Plan rashoda za unos u SAP'!$C$3:$C$501,"=573",'Plan rashoda za unos u SAP'!$M$3:$M$501,"=386")+SUMIFS('ANALITIKA EU PROJEKATA'!$G$3:$G$498,'ANALITIKA EU PROJEKATA'!$A$3:$A$498,"=573",'ANALITIKA EU PROJEKATA'!$P$3:$P$498,"=386")</f>
        <v>0</v>
      </c>
      <c r="Q37" s="138">
        <f>SUMIFS('Plan rashoda za unos u SAP'!$I$3:$I$501,'Plan rashoda za unos u SAP'!$C$3:$C$501,"=575",'Plan rashoda za unos u SAP'!$M$3:$M$501,"=386")+SUMIFS('ANALITIKA EU PROJEKATA'!$G$3:$G$498,'ANALITIKA EU PROJEKATA'!$A$3:$A$498,"=575",'ANALITIKA EU PROJEKATA'!$P$3:$P$498,"=386")</f>
        <v>0</v>
      </c>
      <c r="R37" s="138">
        <f>SUMIFS('Plan rashoda za unos u SAP'!$I$3:$I$501,'Plan rashoda za unos u SAP'!$C$3:$C$501,"=576",'Plan rashoda za unos u SAP'!$M$3:$M$501,"=386")+SUMIFS('ANALITIKA EU PROJEKATA'!$G$3:$G$498,'ANALITIKA EU PROJEKATA'!$A$3:$A$498,"=576",'ANALITIKA EU PROJEKATA'!$P$3:$P$498,"=386")</f>
        <v>0</v>
      </c>
      <c r="S37" s="138">
        <f>SUMIFS('Plan rashoda za unos u SAP'!$I$3:$I$501,'Plan rashoda za unos u SAP'!$C$3:$C$501,"=581",'Plan rashoda za unos u SAP'!$M$3:$M$501,"=386")+SUMIFS('ANALITIKA EU PROJEKATA'!$G$3:$G$498,'ANALITIKA EU PROJEKATA'!$A$3:$A$498,"=581",'ANALITIKA EU PROJEKATA'!$P$3:$P$498,"=386")</f>
        <v>0</v>
      </c>
      <c r="T37" s="138">
        <f>SUMIFS('Plan rashoda za unos u SAP'!$I$3:$I$501,'Plan rashoda za unos u SAP'!$C$3:$C$501,"=61",'Plan rashoda za unos u SAP'!$M$3:$M$501,"=386")+SUMIFS('ANALITIKA EU PROJEKATA'!$G$3:$G$498,'ANALITIKA EU PROJEKATA'!$A$3:$A$498,"=61",'ANALITIKA EU PROJEKATA'!$P$3:$P$498,"=386")</f>
        <v>0</v>
      </c>
      <c r="U37" s="138">
        <f>SUMIFS('Plan rashoda za unos u SAP'!$I$3:$I$501,'Plan rashoda za unos u SAP'!$C$3:$C$501,"=63",'Plan rashoda za unos u SAP'!$M$3:$M$501,"=386")+SUMIFS('ANALITIKA EU PROJEKATA'!$G$3:$G$498,'ANALITIKA EU PROJEKATA'!$A$3:$A$498,"=63",'ANALITIKA EU PROJEKATA'!$P$3:$P$498,"=386")</f>
        <v>0</v>
      </c>
      <c r="V37" s="138">
        <f>SUMIFS('Plan rashoda za unos u SAP'!$I$3:$I$501,'Plan rashoda za unos u SAP'!$C$3:$C$501,"=71",'Plan rashoda za unos u SAP'!$M$3:$M$501,"=386")+SUMIFS('ANALITIKA EU PROJEKATA'!$G$3:$G$498,'ANALITIKA EU PROJEKATA'!$A$3:$A$498,"=71",'ANALITIKA EU PROJEKATA'!$P$3:$P$498,"=386")</f>
        <v>0</v>
      </c>
      <c r="W37" s="138">
        <f>SUMIFS('Plan rashoda za unos u SAP'!$I$3:$I$501,'Plan rashoda za unos u SAP'!$C$3:$C$501,"=81",'Plan rashoda za unos u SAP'!$M$3:$M$501,"=386")+SUMIFS('ANALITIKA EU PROJEKATA'!$G$3:$G$498,'ANALITIKA EU PROJEKATA'!$A$3:$A$498,"=81",'ANALITIKA EU PROJEKATA'!$P$3:$P$498,"=386")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300574</v>
      </c>
      <c r="E38" s="126">
        <f>E42+E49+E51+E53+E39</f>
        <v>195000</v>
      </c>
      <c r="F38" s="126">
        <f t="shared" ref="F38:W38" si="11">F42+F49+F51+F53+F39</f>
        <v>0</v>
      </c>
      <c r="G38" s="126">
        <f t="shared" si="11"/>
        <v>40500</v>
      </c>
      <c r="H38" s="126">
        <f>H42+H49+H51+H53+H39</f>
        <v>0</v>
      </c>
      <c r="I38" s="126">
        <f t="shared" si="11"/>
        <v>50074</v>
      </c>
      <c r="J38" s="126">
        <f t="shared" si="11"/>
        <v>0</v>
      </c>
      <c r="K38" s="126">
        <f t="shared" si="11"/>
        <v>15000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33574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2500</v>
      </c>
      <c r="H39" s="12">
        <f>SUM(H40:H41)</f>
        <v>0</v>
      </c>
      <c r="I39" s="12">
        <f t="shared" si="12"/>
        <v>31074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PROJEKATA'!$G$3:$G$498,'ANALITIKA EU PROJEKATA'!$A$3:$A$498,"=11",'ANALITIKA EU PROJEKATA'!$P$3:$P$498,"=411")</f>
        <v>0</v>
      </c>
      <c r="F40" s="138">
        <f>SUMIFS('Plan rashoda za unos u SAP'!$I$3:$I$501,'Plan rashoda za unos u SAP'!$C$3:$C$501,"=12",'Plan rashoda za unos u SAP'!$M$3:$M$501,"=411")+SUMIFS('ANALITIKA EU PROJEKATA'!$G$3:$G$498,'ANALITIKA EU PROJEKATA'!$A$3:$A$498,"=12",'ANALITIKA EU PROJEKATA'!$P$3:$P$498,"=411")</f>
        <v>0</v>
      </c>
      <c r="G40" s="138">
        <f>SUMIFS('Plan rashoda za unos u SAP'!$I$3:$I$501,'Plan rashoda za unos u SAP'!$C$3:$C$501,"=31",'Plan rashoda za unos u SAP'!$M$3:$M$501,"=411")+SUMIFS('ANALITIKA EU PROJEKATA'!$G$3:$G$498,'ANALITIKA EU PROJEKATA'!$A$3:$A$498,"=31",'ANALITIKA EU PROJEKATA'!$P$3:$P$498,"=411")</f>
        <v>0</v>
      </c>
      <c r="H40" s="138">
        <f>SUMIFS('Plan rashoda za unos u SAP'!$I$3:$I$501,'Plan rashoda za unos u SAP'!$C$3:$C$501,"=41",'Plan rashoda za unos u SAP'!$M$3:$M$501,"=411")+SUMIFS('ANALITIKA EU PROJEKATA'!$G$3:$G$498,'ANALITIKA EU PROJEKATA'!$A$3:$A$498,"=41",'ANALITIKA EU PROJEKATA'!$P$3:$P$498,"=411")</f>
        <v>0</v>
      </c>
      <c r="I40" s="138">
        <f>SUMIFS('Plan rashoda za unos u SAP'!$I$3:$I$501,'Plan rashoda za unos u SAP'!$C$3:$C$501,"=43",'Plan rashoda za unos u SAP'!$M$3:$M$501,"=411")+SUMIFS('ANALITIKA EU PROJEKATA'!$G$3:$G$498,'ANALITIKA EU PROJEKATA'!$A$3:$A$498,"=43",'ANALITIKA EU PROJEKATA'!$P$3:$P$498,"=411")</f>
        <v>0</v>
      </c>
      <c r="J40" s="138">
        <f>SUMIFS('Plan rashoda za unos u SAP'!$I$3:$I$501,'Plan rashoda za unos u SAP'!$C$3:$C$501,"=51",'Plan rashoda za unos u SAP'!$M$3:$M$501,"=411")+SUMIFS('ANALITIKA EU PROJEKATA'!$G$3:$G$498,'ANALITIKA EU PROJEKATA'!$A$3:$A$498,"=51",'ANALITIKA EU PROJEKATA'!$P$3:$P$498,"=411")</f>
        <v>0</v>
      </c>
      <c r="K40" s="138">
        <f>SUMIFS('Plan rashoda za unos u SAP'!$I$3:$I$501,'Plan rashoda za unos u SAP'!$C$3:$C$501,"=52",'Plan rashoda za unos u SAP'!$M$3:$M$501,"=411")+SUMIFS('ANALITIKA EU PROJEKATA'!$G$3:$G$498,'ANALITIKA EU PROJEKATA'!$A$3:$A$498,"=52",'ANALITIKA EU PROJEKATA'!$P$3:$P$498,"=411")</f>
        <v>0</v>
      </c>
      <c r="L40" s="138">
        <f>SUMIFS('Plan rashoda za unos u SAP'!$I$3:$I$501,'Plan rashoda za unos u SAP'!$C$3:$C$501,"=552",'Plan rashoda za unos u SAP'!$M$3:$M$501,"=411")+SUMIFS('ANALITIKA EU PROJEKATA'!$G$3:$G$498,'ANALITIKA EU PROJEKATA'!$A$3:$A$498,"=552",'ANALITIKA EU PROJEKATA'!$P$3:$P$498,"=411")</f>
        <v>0</v>
      </c>
      <c r="M40" s="138">
        <f>SUMIFS('Plan rashoda za unos u SAP'!$I$3:$I$501,'Plan rashoda za unos u SAP'!$C$3:$C$501,"=559",'Plan rashoda za unos u SAP'!$M$3:$M$501,"=411")+SUMIFS('ANALITIKA EU PROJEKATA'!$G$3:$G$498,'ANALITIKA EU PROJEKATA'!$A$3:$A$498,"=559",'ANALITIKA EU PROJEKATA'!$P$3:$P$498,"=411")</f>
        <v>0</v>
      </c>
      <c r="N40" s="138">
        <f>SUMIFS('Plan rashoda za unos u SAP'!$I$3:$I$501,'Plan rashoda za unos u SAP'!$C$3:$C$501,"=561",'Plan rashoda za unos u SAP'!$M$3:$M$501,"=411")+SUMIFS('ANALITIKA EU PROJEKATA'!$G$3:$G$498,'ANALITIKA EU PROJEKATA'!$A$3:$A$498,"=561",'ANALITIKA EU PROJEKATA'!$P$3:$P$498,"=411")</f>
        <v>0</v>
      </c>
      <c r="O40" s="138">
        <f>SUMIFS('Plan rashoda za unos u SAP'!$I$3:$I$501,'Plan rashoda za unos u SAP'!$C$3:$C$501,"=563",'Plan rashoda za unos u SAP'!$M$3:$M$501,"=411")+SUMIFS('ANALITIKA EU PROJEKATA'!$G$3:$G$498,'ANALITIKA EU PROJEKATA'!$A$3:$A$498,"=563",'ANALITIKA EU PROJEKATA'!$P$3:$P$498,"=411")</f>
        <v>0</v>
      </c>
      <c r="P40" s="138">
        <f>SUMIFS('Plan rashoda za unos u SAP'!$I$3:$I$501,'Plan rashoda za unos u SAP'!$C$3:$C$501,"=573",'Plan rashoda za unos u SAP'!$M$3:$M$501,"=411")+SUMIFS('ANALITIKA EU PROJEKATA'!$G$3:$G$498,'ANALITIKA EU PROJEKATA'!$A$3:$A$498,"=573",'ANALITIKA EU PROJEKATA'!$P$3:$P$498,"=411")</f>
        <v>0</v>
      </c>
      <c r="Q40" s="138">
        <f>SUMIFS('Plan rashoda za unos u SAP'!$I$3:$I$501,'Plan rashoda za unos u SAP'!$C$3:$C$501,"=575",'Plan rashoda za unos u SAP'!$M$3:$M$501,"=411")+SUMIFS('ANALITIKA EU PROJEKATA'!$G$3:$G$498,'ANALITIKA EU PROJEKATA'!$A$3:$A$498,"=575",'ANALITIKA EU PROJEKATA'!$P$3:$P$498,"=411")</f>
        <v>0</v>
      </c>
      <c r="R40" s="138">
        <f>SUMIFS('Plan rashoda za unos u SAP'!$I$3:$I$501,'Plan rashoda za unos u SAP'!$C$3:$C$501,"=576",'Plan rashoda za unos u SAP'!$M$3:$M$501,"=411")+SUMIFS('ANALITIKA EU PROJEKATA'!$G$3:$G$498,'ANALITIKA EU PROJEKATA'!$A$3:$A$498,"=576",'ANALITIKA EU PROJEKATA'!$P$3:$P$498,"=411")</f>
        <v>0</v>
      </c>
      <c r="S40" s="138">
        <f>SUMIFS('Plan rashoda za unos u SAP'!$I$3:$I$501,'Plan rashoda za unos u SAP'!$C$3:$C$501,"=581",'Plan rashoda za unos u SAP'!$M$3:$M$501,"=411")+SUMIFS('ANALITIKA EU PROJEKATA'!$G$3:$G$498,'ANALITIKA EU PROJEKATA'!$A$3:$A$498,"=581",'ANALITIKA EU PROJEKATA'!$P$3:$P$498,"=411")</f>
        <v>0</v>
      </c>
      <c r="T40" s="138">
        <f>SUMIFS('Plan rashoda za unos u SAP'!$I$3:$I$501,'Plan rashoda za unos u SAP'!$C$3:$C$501,"=61",'Plan rashoda za unos u SAP'!$M$3:$M$501,"=411")+SUMIFS('ANALITIKA EU PROJEKATA'!$G$3:$G$498,'ANALITIKA EU PROJEKATA'!$A$3:$A$498,"=61",'ANALITIKA EU PROJEKATA'!$P$3:$P$498,"=411")</f>
        <v>0</v>
      </c>
      <c r="U40" s="138">
        <f>SUMIFS('Plan rashoda za unos u SAP'!$I$3:$I$501,'Plan rashoda za unos u SAP'!$C$3:$C$501,"=63",'Plan rashoda za unos u SAP'!$M$3:$M$501,"=411")+SUMIFS('ANALITIKA EU PROJEKATA'!$G$3:$G$498,'ANALITIKA EU PROJEKATA'!$A$3:$A$498,"=63",'ANALITIKA EU PROJEKATA'!$P$3:$P$498,"=411")</f>
        <v>0</v>
      </c>
      <c r="V40" s="138">
        <f>SUMIFS('Plan rashoda za unos u SAP'!$I$3:$I$501,'Plan rashoda za unos u SAP'!$C$3:$C$501,"=71",'Plan rashoda za unos u SAP'!$M$3:$M$501,"=411")+SUMIFS('ANALITIKA EU PROJEKATA'!$G$3:$G$498,'ANALITIKA EU PROJEKATA'!$A$3:$A$498,"=71",'ANALITIKA EU PROJEKATA'!$P$3:$P$498,"=411")</f>
        <v>0</v>
      </c>
      <c r="W40" s="138">
        <f>SUMIFS('Plan rashoda za unos u SAP'!$I$3:$I$501,'Plan rashoda za unos u SAP'!$C$3:$C$501,"=81",'Plan rashoda za unos u SAP'!$M$3:$M$501,"=411")+SUMIFS('ANALITIKA EU PROJEKATA'!$G$3:$G$498,'ANALITIKA EU PROJEKATA'!$A$3:$A$498,"=81",'ANALITIKA EU PROJEKATA'!$P$3:$P$498,"=411")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33574</v>
      </c>
      <c r="E41" s="138">
        <f>SUMIFS('Plan rashoda za unos u SAP'!$I$3:$I$501,'Plan rashoda za unos u SAP'!$C$3:$C$501,"=11",'Plan rashoda za unos u SAP'!$M$3:$M$501,"=412")+SUMIFS('ANALITIKA EU PROJEKATA'!$G$3:$G$498,'ANALITIKA EU PROJEKATA'!$A$3:$A$498,"=11",'ANALITIKA EU PROJEKATA'!$P$3:$P$498,"=412")</f>
        <v>0</v>
      </c>
      <c r="F41" s="138">
        <f>SUMIFS('Plan rashoda za unos u SAP'!$I$3:$I$501,'Plan rashoda za unos u SAP'!$C$3:$C$501,"=12",'Plan rashoda za unos u SAP'!$M$3:$M$501,"=412")+SUMIFS('ANALITIKA EU PROJEKATA'!$G$3:$G$498,'ANALITIKA EU PROJEKATA'!$A$3:$A$498,"=12",'ANALITIKA EU PROJEKATA'!$P$3:$P$498,"=412")</f>
        <v>0</v>
      </c>
      <c r="G41" s="138">
        <f>SUMIFS('Plan rashoda za unos u SAP'!$I$3:$I$501,'Plan rashoda za unos u SAP'!$C$3:$C$501,"=31",'Plan rashoda za unos u SAP'!$M$3:$M$501,"=412")+SUMIFS('ANALITIKA EU PROJEKATA'!$G$3:$G$498,'ANALITIKA EU PROJEKATA'!$A$3:$A$498,"=31",'ANALITIKA EU PROJEKATA'!$P$3:$P$498,"=412")</f>
        <v>2500</v>
      </c>
      <c r="H41" s="138">
        <f>SUMIFS('Plan rashoda za unos u SAP'!$I$3:$I$501,'Plan rashoda za unos u SAP'!$C$3:$C$501,"=41",'Plan rashoda za unos u SAP'!$M$3:$M$501,"=412")+SUMIFS('ANALITIKA EU PROJEKATA'!$G$3:$G$498,'ANALITIKA EU PROJEKATA'!$A$3:$A$498,"=41",'ANALITIKA EU PROJEKATA'!$P$3:$P$498,"=412")</f>
        <v>0</v>
      </c>
      <c r="I41" s="138">
        <f>SUMIFS('Plan rashoda za unos u SAP'!$I$3:$I$501,'Plan rashoda za unos u SAP'!$C$3:$C$501,"=43",'Plan rashoda za unos u SAP'!$M$3:$M$501,"=412")+SUMIFS('ANALITIKA EU PROJEKATA'!$G$3:$G$498,'ANALITIKA EU PROJEKATA'!$A$3:$A$498,"=43",'ANALITIKA EU PROJEKATA'!$P$3:$P$498,"=412")</f>
        <v>31074</v>
      </c>
      <c r="J41" s="138">
        <f>SUMIFS('Plan rashoda za unos u SAP'!$I$3:$I$501,'Plan rashoda za unos u SAP'!$C$3:$C$501,"=51",'Plan rashoda za unos u SAP'!$M$3:$M$501,"=412")+SUMIFS('ANALITIKA EU PROJEKATA'!$G$3:$G$498,'ANALITIKA EU PROJEKATA'!$A$3:$A$498,"=51",'ANALITIKA EU PROJEKATA'!$P$3:$P$498,"=412")</f>
        <v>0</v>
      </c>
      <c r="K41" s="138">
        <f>SUMIFS('Plan rashoda za unos u SAP'!$I$3:$I$501,'Plan rashoda za unos u SAP'!$C$3:$C$501,"=52",'Plan rashoda za unos u SAP'!$M$3:$M$501,"=412")+SUMIFS('ANALITIKA EU PROJEKATA'!$G$3:$G$498,'ANALITIKA EU PROJEKATA'!$A$3:$A$498,"=52",'ANALITIKA EU PROJEKATA'!$P$3:$P$498,"=412")</f>
        <v>0</v>
      </c>
      <c r="L41" s="138">
        <f>SUMIFS('Plan rashoda za unos u SAP'!$I$3:$I$501,'Plan rashoda za unos u SAP'!$C$3:$C$501,"=552",'Plan rashoda za unos u SAP'!$M$3:$M$501,"=412")+SUMIFS('ANALITIKA EU PROJEKATA'!$G$3:$G$498,'ANALITIKA EU PROJEKATA'!$A$3:$A$498,"=552",'ANALITIKA EU PROJEKATA'!$P$3:$P$498,"=412")</f>
        <v>0</v>
      </c>
      <c r="M41" s="138">
        <f>SUMIFS('Plan rashoda za unos u SAP'!$I$3:$I$501,'Plan rashoda za unos u SAP'!$C$3:$C$501,"=559",'Plan rashoda za unos u SAP'!$M$3:$M$501,"=412")+SUMIFS('ANALITIKA EU PROJEKATA'!$G$3:$G$498,'ANALITIKA EU PROJEKATA'!$A$3:$A$498,"=559",'ANALITIKA EU PROJEKATA'!$P$3:$P$498,"=412")</f>
        <v>0</v>
      </c>
      <c r="N41" s="138">
        <f>SUMIFS('Plan rashoda za unos u SAP'!$I$3:$I$501,'Plan rashoda za unos u SAP'!$C$3:$C$501,"=561",'Plan rashoda za unos u SAP'!$M$3:$M$501,"=412")+SUMIFS('ANALITIKA EU PROJEKATA'!$G$3:$G$498,'ANALITIKA EU PROJEKATA'!$A$3:$A$498,"=561",'ANALITIKA EU PROJEKATA'!$P$3:$P$498,"=412")</f>
        <v>0</v>
      </c>
      <c r="O41" s="138">
        <f>SUMIFS('Plan rashoda za unos u SAP'!$I$3:$I$501,'Plan rashoda za unos u SAP'!$C$3:$C$501,"=563",'Plan rashoda za unos u SAP'!$M$3:$M$501,"=412")+SUMIFS('ANALITIKA EU PROJEKATA'!$G$3:$G$498,'ANALITIKA EU PROJEKATA'!$A$3:$A$498,"=563",'ANALITIKA EU PROJEKATA'!$P$3:$P$498,"=412")</f>
        <v>0</v>
      </c>
      <c r="P41" s="138">
        <f>SUMIFS('Plan rashoda za unos u SAP'!$I$3:$I$501,'Plan rashoda za unos u SAP'!$C$3:$C$501,"=573",'Plan rashoda za unos u SAP'!$M$3:$M$501,"=412")+SUMIFS('ANALITIKA EU PROJEKATA'!$G$3:$G$498,'ANALITIKA EU PROJEKATA'!$A$3:$A$498,"=573",'ANALITIKA EU PROJEKATA'!$P$3:$P$498,"=412")</f>
        <v>0</v>
      </c>
      <c r="Q41" s="138">
        <f>SUMIFS('Plan rashoda za unos u SAP'!$I$3:$I$501,'Plan rashoda za unos u SAP'!$C$3:$C$501,"=575",'Plan rashoda za unos u SAP'!$M$3:$M$501,"=412")+SUMIFS('ANALITIKA EU PROJEKATA'!$G$3:$G$498,'ANALITIKA EU PROJEKATA'!$A$3:$A$498,"=575",'ANALITIKA EU PROJEKATA'!$P$3:$P$498,"=412")</f>
        <v>0</v>
      </c>
      <c r="R41" s="138">
        <f>SUMIFS('Plan rashoda za unos u SAP'!$I$3:$I$501,'Plan rashoda za unos u SAP'!$C$3:$C$501,"=576",'Plan rashoda za unos u SAP'!$M$3:$M$501,"=412")+SUMIFS('ANALITIKA EU PROJEKATA'!$G$3:$G$498,'ANALITIKA EU PROJEKATA'!$A$3:$A$498,"=576",'ANALITIKA EU PROJEKATA'!$P$3:$P$498,"=412")</f>
        <v>0</v>
      </c>
      <c r="S41" s="138">
        <f>SUMIFS('Plan rashoda za unos u SAP'!$I$3:$I$501,'Plan rashoda za unos u SAP'!$C$3:$C$501,"=581",'Plan rashoda za unos u SAP'!$M$3:$M$501,"=412")+SUMIFS('ANALITIKA EU PROJEKATA'!$G$3:$G$498,'ANALITIKA EU PROJEKATA'!$A$3:$A$498,"=581",'ANALITIKA EU PROJEKATA'!$P$3:$P$498,"=412")</f>
        <v>0</v>
      </c>
      <c r="T41" s="138">
        <f>SUMIFS('Plan rashoda za unos u SAP'!$I$3:$I$501,'Plan rashoda za unos u SAP'!$C$3:$C$501,"=61",'Plan rashoda za unos u SAP'!$M$3:$M$501,"=412")+SUMIFS('ANALITIKA EU PROJEKATA'!$G$3:$G$498,'ANALITIKA EU PROJEKATA'!$A$3:$A$498,"=61",'ANALITIKA EU PROJEKATA'!$P$3:$P$498,"=412")</f>
        <v>0</v>
      </c>
      <c r="U41" s="138">
        <f>SUMIFS('Plan rashoda za unos u SAP'!$I$3:$I$501,'Plan rashoda za unos u SAP'!$C$3:$C$501,"=63",'Plan rashoda za unos u SAP'!$M$3:$M$501,"=412")+SUMIFS('ANALITIKA EU PROJEKATA'!$G$3:$G$498,'ANALITIKA EU PROJEKATA'!$A$3:$A$498,"=63",'ANALITIKA EU PROJEKATA'!$P$3:$P$498,"=412")</f>
        <v>0</v>
      </c>
      <c r="V41" s="138">
        <f>SUMIFS('Plan rashoda za unos u SAP'!$I$3:$I$501,'Plan rashoda za unos u SAP'!$C$3:$C$501,"=71",'Plan rashoda za unos u SAP'!$M$3:$M$501,"=412")+SUMIFS('ANALITIKA EU PROJEKATA'!$G$3:$G$498,'ANALITIKA EU PROJEKATA'!$A$3:$A$498,"=71",'ANALITIKA EU PROJEKATA'!$P$3:$P$498,"=412")</f>
        <v>0</v>
      </c>
      <c r="W41" s="138">
        <f>SUMIFS('Plan rashoda za unos u SAP'!$I$3:$I$501,'Plan rashoda za unos u SAP'!$C$3:$C$501,"=81",'Plan rashoda za unos u SAP'!$M$3:$M$501,"=412")+SUMIFS('ANALITIKA EU PROJEKATA'!$G$3:$G$498,'ANALITIKA EU PROJEKATA'!$A$3:$A$498,"=81",'ANALITIKA EU PROJEKATA'!$P$3:$P$498,"=412")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267000</v>
      </c>
      <c r="E42" s="4">
        <f t="shared" ref="E42:W42" si="13">SUM(E43:E48)</f>
        <v>195000</v>
      </c>
      <c r="F42" s="4">
        <f t="shared" si="13"/>
        <v>0</v>
      </c>
      <c r="G42" s="4">
        <f t="shared" si="13"/>
        <v>38000</v>
      </c>
      <c r="H42" s="4">
        <f>SUM(H43:H48)</f>
        <v>0</v>
      </c>
      <c r="I42" s="4">
        <f t="shared" si="13"/>
        <v>19000</v>
      </c>
      <c r="J42" s="4">
        <f t="shared" si="13"/>
        <v>0</v>
      </c>
      <c r="K42" s="4">
        <f t="shared" si="13"/>
        <v>15000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PROJEKATA'!$G$3:$G$498,'ANALITIKA EU PROJEKATA'!$A$3:$A$498,"=11",'ANALITIKA EU PROJEKATA'!$P$3:$P$498,"=421")</f>
        <v>0</v>
      </c>
      <c r="F43" s="138">
        <f>SUMIFS('Plan rashoda za unos u SAP'!$I$3:$I$501,'Plan rashoda za unos u SAP'!$C$3:$C$501,"=12",'Plan rashoda za unos u SAP'!$M$3:$M$501,"=421")+SUMIFS('ANALITIKA EU PROJEKATA'!$G$3:$G$498,'ANALITIKA EU PROJEKATA'!$A$3:$A$498,"=12",'ANALITIKA EU PROJEKATA'!$P$3:$P$498,"=421")</f>
        <v>0</v>
      </c>
      <c r="G43" s="138">
        <f>SUMIFS('Plan rashoda za unos u SAP'!$I$3:$I$501,'Plan rashoda za unos u SAP'!$C$3:$C$501,"=31",'Plan rashoda za unos u SAP'!$M$3:$M$501,"=421")+SUMIFS('ANALITIKA EU PROJEKATA'!$G$3:$G$498,'ANALITIKA EU PROJEKATA'!$A$3:$A$498,"=31",'ANALITIKA EU PROJEKATA'!$P$3:$P$498,"=421")</f>
        <v>0</v>
      </c>
      <c r="H43" s="138">
        <f>SUMIFS('Plan rashoda za unos u SAP'!$I$3:$I$501,'Plan rashoda za unos u SAP'!$C$3:$C$501,"=41",'Plan rashoda za unos u SAP'!$M$3:$M$501,"=421")+SUMIFS('ANALITIKA EU PROJEKATA'!$G$3:$G$498,'ANALITIKA EU PROJEKATA'!$A$3:$A$498,"=41",'ANALITIKA EU PROJEKATA'!$P$3:$P$498,"=421")</f>
        <v>0</v>
      </c>
      <c r="I43" s="138">
        <f>SUMIFS('Plan rashoda za unos u SAP'!$I$3:$I$501,'Plan rashoda za unos u SAP'!$C$3:$C$501,"=43",'Plan rashoda za unos u SAP'!$M$3:$M$501,"=421")+SUMIFS('ANALITIKA EU PROJEKATA'!$G$3:$G$498,'ANALITIKA EU PROJEKATA'!$A$3:$A$498,"=43",'ANALITIKA EU PROJEKATA'!$P$3:$P$498,"=421")</f>
        <v>0</v>
      </c>
      <c r="J43" s="138">
        <f>SUMIFS('Plan rashoda za unos u SAP'!$I$3:$I$501,'Plan rashoda za unos u SAP'!$C$3:$C$501,"=51",'Plan rashoda za unos u SAP'!$M$3:$M$501,"=421")+SUMIFS('ANALITIKA EU PROJEKATA'!$G$3:$G$498,'ANALITIKA EU PROJEKATA'!$A$3:$A$498,"=51",'ANALITIKA EU PROJEKATA'!$P$3:$P$498,"=421")</f>
        <v>0</v>
      </c>
      <c r="K43" s="138">
        <f>SUMIFS('Plan rashoda za unos u SAP'!$I$3:$I$501,'Plan rashoda za unos u SAP'!$C$3:$C$501,"=52",'Plan rashoda za unos u SAP'!$M$3:$M$501,"=421")+SUMIFS('ANALITIKA EU PROJEKATA'!$G$3:$G$498,'ANALITIKA EU PROJEKATA'!$A$3:$A$498,"=52",'ANALITIKA EU PROJEKATA'!$P$3:$P$498,"=421")</f>
        <v>0</v>
      </c>
      <c r="L43" s="138">
        <f>SUMIFS('Plan rashoda za unos u SAP'!$I$3:$I$501,'Plan rashoda za unos u SAP'!$C$3:$C$501,"=552",'Plan rashoda za unos u SAP'!$M$3:$M$501,"=421")+SUMIFS('ANALITIKA EU PROJEKATA'!$G$3:$G$498,'ANALITIKA EU PROJEKATA'!$A$3:$A$498,"=552",'ANALITIKA EU PROJEKATA'!$P$3:$P$498,"=421")</f>
        <v>0</v>
      </c>
      <c r="M43" s="138">
        <f>SUMIFS('Plan rashoda za unos u SAP'!$I$3:$I$501,'Plan rashoda za unos u SAP'!$C$3:$C$501,"=559",'Plan rashoda za unos u SAP'!$M$3:$M$501,"=421")+SUMIFS('ANALITIKA EU PROJEKATA'!$G$3:$G$498,'ANALITIKA EU PROJEKATA'!$A$3:$A$498,"=559",'ANALITIKA EU PROJEKATA'!$P$3:$P$498,"=421")</f>
        <v>0</v>
      </c>
      <c r="N43" s="138">
        <f>SUMIFS('Plan rashoda za unos u SAP'!$I$3:$I$501,'Plan rashoda za unos u SAP'!$C$3:$C$501,"=561",'Plan rashoda za unos u SAP'!$M$3:$M$501,"=421")+SUMIFS('ANALITIKA EU PROJEKATA'!$G$3:$G$498,'ANALITIKA EU PROJEKATA'!$A$3:$A$498,"=561",'ANALITIKA EU PROJEKATA'!$P$3:$P$498,"=421")</f>
        <v>0</v>
      </c>
      <c r="O43" s="138">
        <f>SUMIFS('Plan rashoda za unos u SAP'!$I$3:$I$501,'Plan rashoda za unos u SAP'!$C$3:$C$501,"=563",'Plan rashoda za unos u SAP'!$M$3:$M$501,"=421")+SUMIFS('ANALITIKA EU PROJEKATA'!$G$3:$G$498,'ANALITIKA EU PROJEKATA'!$A$3:$A$498,"=563",'ANALITIKA EU PROJEKATA'!$P$3:$P$498,"=421")</f>
        <v>0</v>
      </c>
      <c r="P43" s="138">
        <f>SUMIFS('Plan rashoda za unos u SAP'!$I$3:$I$501,'Plan rashoda za unos u SAP'!$C$3:$C$501,"=573",'Plan rashoda za unos u SAP'!$M$3:$M$501,"=421")+SUMIFS('ANALITIKA EU PROJEKATA'!$G$3:$G$498,'ANALITIKA EU PROJEKATA'!$A$3:$A$498,"=573",'ANALITIKA EU PROJEKATA'!$P$3:$P$498,"=421")</f>
        <v>0</v>
      </c>
      <c r="Q43" s="138">
        <f>SUMIFS('Plan rashoda za unos u SAP'!$I$3:$I$501,'Plan rashoda za unos u SAP'!$C$3:$C$501,"=575",'Plan rashoda za unos u SAP'!$M$3:$M$501,"=421")+SUMIFS('ANALITIKA EU PROJEKATA'!$G$3:$G$498,'ANALITIKA EU PROJEKATA'!$A$3:$A$498,"=575",'ANALITIKA EU PROJEKATA'!$P$3:$P$498,"=421")</f>
        <v>0</v>
      </c>
      <c r="R43" s="138">
        <f>SUMIFS('Plan rashoda za unos u SAP'!$I$3:$I$501,'Plan rashoda za unos u SAP'!$C$3:$C$501,"=576",'Plan rashoda za unos u SAP'!$M$3:$M$501,"=421")+SUMIFS('ANALITIKA EU PROJEKATA'!$G$3:$G$498,'ANALITIKA EU PROJEKATA'!$A$3:$A$498,"=576",'ANALITIKA EU PROJEKATA'!$P$3:$P$498,"=421")</f>
        <v>0</v>
      </c>
      <c r="S43" s="138">
        <f>SUMIFS('Plan rashoda za unos u SAP'!$I$3:$I$501,'Plan rashoda za unos u SAP'!$C$3:$C$501,"=581",'Plan rashoda za unos u SAP'!$M$3:$M$501,"=421")+SUMIFS('ANALITIKA EU PROJEKATA'!$G$3:$G$498,'ANALITIKA EU PROJEKATA'!$A$3:$A$498,"=581",'ANALITIKA EU PROJEKATA'!$P$3:$P$498,"=421")</f>
        <v>0</v>
      </c>
      <c r="T43" s="138">
        <f>SUMIFS('Plan rashoda za unos u SAP'!$I$3:$I$501,'Plan rashoda za unos u SAP'!$C$3:$C$501,"=61",'Plan rashoda za unos u SAP'!$M$3:$M$501,"=421")+SUMIFS('ANALITIKA EU PROJEKATA'!$G$3:$G$498,'ANALITIKA EU PROJEKATA'!$A$3:$A$498,"=61",'ANALITIKA EU PROJEKATA'!$P$3:$P$498,"=421")</f>
        <v>0</v>
      </c>
      <c r="U43" s="138">
        <f>SUMIFS('Plan rashoda za unos u SAP'!$I$3:$I$501,'Plan rashoda za unos u SAP'!$C$3:$C$501,"=63",'Plan rashoda za unos u SAP'!$M$3:$M$501,"=421")+SUMIFS('ANALITIKA EU PROJEKATA'!$G$3:$G$498,'ANALITIKA EU PROJEKATA'!$A$3:$A$498,"=63",'ANALITIKA EU PROJEKATA'!$P$3:$P$498,"=421")</f>
        <v>0</v>
      </c>
      <c r="V43" s="138">
        <f>SUMIFS('Plan rashoda za unos u SAP'!$I$3:$I$501,'Plan rashoda za unos u SAP'!$C$3:$C$501,"=71",'Plan rashoda za unos u SAP'!$M$3:$M$501,"=421")+SUMIFS('ANALITIKA EU PROJEKATA'!$G$3:$G$498,'ANALITIKA EU PROJEKATA'!$A$3:$A$498,"=71",'ANALITIKA EU PROJEKATA'!$P$3:$P$498,"=421")</f>
        <v>0</v>
      </c>
      <c r="W43" s="138">
        <f>SUMIFS('Plan rashoda za unos u SAP'!$I$3:$I$501,'Plan rashoda za unos u SAP'!$C$3:$C$501,"=81",'Plan rashoda za unos u SAP'!$M$3:$M$501,"=421")+SUMIFS('ANALITIKA EU PROJEKATA'!$G$3:$G$498,'ANALITIKA EU PROJEKATA'!$A$3:$A$498,"=81",'ANALITIKA EU PROJEKATA'!$P$3:$P$498,"=421")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165000</v>
      </c>
      <c r="E44" s="138">
        <f>SUMIFS('Plan rashoda za unos u SAP'!$I$3:$I$501,'Plan rashoda za unos u SAP'!$C$3:$C$501,"=11",'Plan rashoda za unos u SAP'!$M$3:$M$501,"=422")+SUMIFS('ANALITIKA EU PROJEKATA'!$G$3:$G$498,'ANALITIKA EU PROJEKATA'!$A$3:$A$498,"=11",'ANALITIKA EU PROJEKATA'!$P$3:$P$498,"=422")</f>
        <v>95000</v>
      </c>
      <c r="F44" s="138">
        <f>SUMIFS('Plan rashoda za unos u SAP'!$I$3:$I$501,'Plan rashoda za unos u SAP'!$C$3:$C$501,"=12",'Plan rashoda za unos u SAP'!$M$3:$M$501,"=422")+SUMIFS('ANALITIKA EU PROJEKATA'!$G$3:$G$498,'ANALITIKA EU PROJEKATA'!$A$3:$A$498,"=12",'ANALITIKA EU PROJEKATA'!$P$3:$P$498,"=422")</f>
        <v>0</v>
      </c>
      <c r="G44" s="138">
        <f>SUMIFS('Plan rashoda za unos u SAP'!$I$3:$I$501,'Plan rashoda za unos u SAP'!$C$3:$C$501,"=31",'Plan rashoda za unos u SAP'!$M$3:$M$501,"=422")+SUMIFS('ANALITIKA EU PROJEKATA'!$G$3:$G$498,'ANALITIKA EU PROJEKATA'!$A$3:$A$498,"=31",'ANALITIKA EU PROJEKATA'!$P$3:$P$498,"=422")</f>
        <v>36000</v>
      </c>
      <c r="H44" s="138">
        <f>SUMIFS('Plan rashoda za unos u SAP'!$I$3:$I$501,'Plan rashoda za unos u SAP'!$C$3:$C$501,"=41",'Plan rashoda za unos u SAP'!$M$3:$M$501,"=422")+SUMIFS('ANALITIKA EU PROJEKATA'!$G$3:$G$498,'ANALITIKA EU PROJEKATA'!$A$3:$A$498,"=41",'ANALITIKA EU PROJEKATA'!$P$3:$P$498,"=422")</f>
        <v>0</v>
      </c>
      <c r="I44" s="138">
        <f>SUMIFS('Plan rashoda za unos u SAP'!$I$3:$I$501,'Plan rashoda za unos u SAP'!$C$3:$C$501,"=43",'Plan rashoda za unos u SAP'!$M$3:$M$501,"=422")+SUMIFS('ANALITIKA EU PROJEKATA'!$G$3:$G$498,'ANALITIKA EU PROJEKATA'!$A$3:$A$498,"=43",'ANALITIKA EU PROJEKATA'!$P$3:$P$498,"=422")</f>
        <v>19000</v>
      </c>
      <c r="J44" s="138">
        <f>SUMIFS('Plan rashoda za unos u SAP'!$I$3:$I$501,'Plan rashoda za unos u SAP'!$C$3:$C$501,"=51",'Plan rashoda za unos u SAP'!$M$3:$M$501,"=422")+SUMIFS('ANALITIKA EU PROJEKATA'!$G$3:$G$498,'ANALITIKA EU PROJEKATA'!$A$3:$A$498,"=51",'ANALITIKA EU PROJEKATA'!$P$3:$P$498,"=422")</f>
        <v>0</v>
      </c>
      <c r="K44" s="138">
        <f>SUMIFS('Plan rashoda za unos u SAP'!$I$3:$I$501,'Plan rashoda za unos u SAP'!$C$3:$C$501,"=52",'Plan rashoda za unos u SAP'!$M$3:$M$501,"=422")+SUMIFS('ANALITIKA EU PROJEKATA'!$G$3:$G$498,'ANALITIKA EU PROJEKATA'!$A$3:$A$498,"=52",'ANALITIKA EU PROJEKATA'!$P$3:$P$498,"=422")</f>
        <v>15000</v>
      </c>
      <c r="L44" s="138">
        <f>SUMIFS('Plan rashoda za unos u SAP'!$I$3:$I$501,'Plan rashoda za unos u SAP'!$C$3:$C$501,"=552",'Plan rashoda za unos u SAP'!$M$3:$M$501,"=422")+SUMIFS('ANALITIKA EU PROJEKATA'!$G$3:$G$498,'ANALITIKA EU PROJEKATA'!$A$3:$A$498,"=552",'ANALITIKA EU PROJEKATA'!$P$3:$P$498,"=422")</f>
        <v>0</v>
      </c>
      <c r="M44" s="138">
        <f>SUMIFS('Plan rashoda za unos u SAP'!$I$3:$I$501,'Plan rashoda za unos u SAP'!$C$3:$C$501,"=559",'Plan rashoda za unos u SAP'!$M$3:$M$501,"=422")+SUMIFS('ANALITIKA EU PROJEKATA'!$G$3:$G$498,'ANALITIKA EU PROJEKATA'!$A$3:$A$498,"=559",'ANALITIKA EU PROJEKATA'!$P$3:$P$498,"=422")</f>
        <v>0</v>
      </c>
      <c r="N44" s="138">
        <f>SUMIFS('Plan rashoda za unos u SAP'!$I$3:$I$501,'Plan rashoda za unos u SAP'!$C$3:$C$501,"=561",'Plan rashoda za unos u SAP'!$M$3:$M$501,"=422")+SUMIFS('ANALITIKA EU PROJEKATA'!$G$3:$G$498,'ANALITIKA EU PROJEKATA'!$A$3:$A$498,"=561",'ANALITIKA EU PROJEKATA'!$P$3:$P$498,"=422")</f>
        <v>0</v>
      </c>
      <c r="O44" s="138">
        <f>SUMIFS('Plan rashoda za unos u SAP'!$I$3:$I$501,'Plan rashoda za unos u SAP'!$C$3:$C$501,"=563",'Plan rashoda za unos u SAP'!$M$3:$M$501,"=422")+SUMIFS('ANALITIKA EU PROJEKATA'!$G$3:$G$498,'ANALITIKA EU PROJEKATA'!$A$3:$A$498,"=563",'ANALITIKA EU PROJEKATA'!$P$3:$P$498,"=422")</f>
        <v>0</v>
      </c>
      <c r="P44" s="138">
        <f>SUMIFS('Plan rashoda za unos u SAP'!$I$3:$I$501,'Plan rashoda za unos u SAP'!$C$3:$C$501,"=573",'Plan rashoda za unos u SAP'!$M$3:$M$501,"=422")+SUMIFS('ANALITIKA EU PROJEKATA'!$G$3:$G$498,'ANALITIKA EU PROJEKATA'!$A$3:$A$498,"=573",'ANALITIKA EU PROJEKATA'!$P$3:$P$498,"=422")</f>
        <v>0</v>
      </c>
      <c r="Q44" s="138">
        <f>SUMIFS('Plan rashoda za unos u SAP'!$I$3:$I$501,'Plan rashoda za unos u SAP'!$C$3:$C$501,"=575",'Plan rashoda za unos u SAP'!$M$3:$M$501,"=422")+SUMIFS('ANALITIKA EU PROJEKATA'!$G$3:$G$498,'ANALITIKA EU PROJEKATA'!$A$3:$A$498,"=575",'ANALITIKA EU PROJEKATA'!$P$3:$P$498,"=422")</f>
        <v>0</v>
      </c>
      <c r="R44" s="138">
        <f>SUMIFS('Plan rashoda za unos u SAP'!$I$3:$I$501,'Plan rashoda za unos u SAP'!$C$3:$C$501,"=576",'Plan rashoda za unos u SAP'!$M$3:$M$501,"=422")+SUMIFS('ANALITIKA EU PROJEKATA'!$G$3:$G$498,'ANALITIKA EU PROJEKATA'!$A$3:$A$498,"=576",'ANALITIKA EU PROJEKATA'!$P$3:$P$498,"=422")</f>
        <v>0</v>
      </c>
      <c r="S44" s="138">
        <f>SUMIFS('Plan rashoda za unos u SAP'!$I$3:$I$501,'Plan rashoda za unos u SAP'!$C$3:$C$501,"=581",'Plan rashoda za unos u SAP'!$M$3:$M$501,"=422")+SUMIFS('ANALITIKA EU PROJEKATA'!$G$3:$G$498,'ANALITIKA EU PROJEKATA'!$A$3:$A$498,"=581",'ANALITIKA EU PROJEKATA'!$P$3:$P$498,"=422")</f>
        <v>0</v>
      </c>
      <c r="T44" s="138">
        <f>SUMIFS('Plan rashoda za unos u SAP'!$I$3:$I$501,'Plan rashoda za unos u SAP'!$C$3:$C$501,"=61",'Plan rashoda za unos u SAP'!$M$3:$M$501,"=422")+SUMIFS('ANALITIKA EU PROJEKATA'!$G$3:$G$498,'ANALITIKA EU PROJEKATA'!$A$3:$A$498,"=61",'ANALITIKA EU PROJEKATA'!$P$3:$P$498,"=422")</f>
        <v>0</v>
      </c>
      <c r="U44" s="138">
        <f>SUMIFS('Plan rashoda za unos u SAP'!$I$3:$I$501,'Plan rashoda za unos u SAP'!$C$3:$C$501,"=63",'Plan rashoda za unos u SAP'!$M$3:$M$501,"=422")+SUMIFS('ANALITIKA EU PROJEKATA'!$G$3:$G$498,'ANALITIKA EU PROJEKATA'!$A$3:$A$498,"=63",'ANALITIKA EU PROJEKATA'!$P$3:$P$498,"=422")</f>
        <v>0</v>
      </c>
      <c r="V44" s="138">
        <f>SUMIFS('Plan rashoda za unos u SAP'!$I$3:$I$501,'Plan rashoda za unos u SAP'!$C$3:$C$501,"=71",'Plan rashoda za unos u SAP'!$M$3:$M$501,"=422")+SUMIFS('ANALITIKA EU PROJEKATA'!$G$3:$G$498,'ANALITIKA EU PROJEKATA'!$A$3:$A$498,"=71",'ANALITIKA EU PROJEKATA'!$P$3:$P$498,"=422")</f>
        <v>0</v>
      </c>
      <c r="W44" s="138">
        <f>SUMIFS('Plan rashoda za unos u SAP'!$I$3:$I$501,'Plan rashoda za unos u SAP'!$C$3:$C$501,"=81",'Plan rashoda za unos u SAP'!$M$3:$M$501,"=422")+SUMIFS('ANALITIKA EU PROJEKATA'!$G$3:$G$498,'ANALITIKA EU PROJEKATA'!$A$3:$A$498,"=81",'ANALITIKA EU PROJEKATA'!$P$3:$P$498,"=422")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PROJEKATA'!$G$3:$G$498,'ANALITIKA EU PROJEKATA'!$A$3:$A$498,"=11",'ANALITIKA EU PROJEKATA'!$P$3:$P$498,"=423")</f>
        <v>0</v>
      </c>
      <c r="F45" s="138">
        <f>SUMIFS('Plan rashoda za unos u SAP'!$I$3:$I$501,'Plan rashoda za unos u SAP'!$C$3:$C$501,"=12",'Plan rashoda za unos u SAP'!$M$3:$M$501,"=423")+SUMIFS('ANALITIKA EU PROJEKATA'!$G$3:$G$498,'ANALITIKA EU PROJEKATA'!$A$3:$A$498,"=12",'ANALITIKA EU PROJEKATA'!$P$3:$P$498,"=423")</f>
        <v>0</v>
      </c>
      <c r="G45" s="138">
        <f>SUMIFS('Plan rashoda za unos u SAP'!$I$3:$I$501,'Plan rashoda za unos u SAP'!$C$3:$C$501,"=31",'Plan rashoda za unos u SAP'!$M$3:$M$501,"=423")+SUMIFS('ANALITIKA EU PROJEKATA'!$G$3:$G$498,'ANALITIKA EU PROJEKATA'!$A$3:$A$498,"=31",'ANALITIKA EU PROJEKATA'!$P$3:$P$498,"=423")</f>
        <v>0</v>
      </c>
      <c r="H45" s="138">
        <f>SUMIFS('Plan rashoda za unos u SAP'!$I$3:$I$501,'Plan rashoda za unos u SAP'!$C$3:$C$501,"=41",'Plan rashoda za unos u SAP'!$M$3:$M$501,"=423")+SUMIFS('ANALITIKA EU PROJEKATA'!$G$3:$G$498,'ANALITIKA EU PROJEKATA'!$A$3:$A$498,"=41",'ANALITIKA EU PROJEKATA'!$P$3:$P$498,"=423")</f>
        <v>0</v>
      </c>
      <c r="I45" s="138">
        <f>SUMIFS('Plan rashoda za unos u SAP'!$I$3:$I$501,'Plan rashoda za unos u SAP'!$C$3:$C$501,"=43",'Plan rashoda za unos u SAP'!$M$3:$M$501,"=423")+SUMIFS('ANALITIKA EU PROJEKATA'!$G$3:$G$498,'ANALITIKA EU PROJEKATA'!$A$3:$A$498,"=43",'ANALITIKA EU PROJEKATA'!$P$3:$P$498,"=423")</f>
        <v>0</v>
      </c>
      <c r="J45" s="138">
        <f>SUMIFS('Plan rashoda za unos u SAP'!$I$3:$I$501,'Plan rashoda za unos u SAP'!$C$3:$C$501,"=51",'Plan rashoda za unos u SAP'!$M$3:$M$501,"=423")+SUMIFS('ANALITIKA EU PROJEKATA'!$G$3:$G$498,'ANALITIKA EU PROJEKATA'!$A$3:$A$498,"=51",'ANALITIKA EU PROJEKATA'!$P$3:$P$498,"=423")</f>
        <v>0</v>
      </c>
      <c r="K45" s="138">
        <f>SUMIFS('Plan rashoda za unos u SAP'!$I$3:$I$501,'Plan rashoda za unos u SAP'!$C$3:$C$501,"=52",'Plan rashoda za unos u SAP'!$M$3:$M$501,"=423")+SUMIFS('ANALITIKA EU PROJEKATA'!$G$3:$G$498,'ANALITIKA EU PROJEKATA'!$A$3:$A$498,"=52",'ANALITIKA EU PROJEKATA'!$P$3:$P$498,"=423")</f>
        <v>0</v>
      </c>
      <c r="L45" s="138">
        <f>SUMIFS('Plan rashoda za unos u SAP'!$I$3:$I$501,'Plan rashoda za unos u SAP'!$C$3:$C$501,"=552",'Plan rashoda za unos u SAP'!$M$3:$M$501,"=423")+SUMIFS('ANALITIKA EU PROJEKATA'!$G$3:$G$498,'ANALITIKA EU PROJEKATA'!$A$3:$A$498,"=552",'ANALITIKA EU PROJEKATA'!$P$3:$P$498,"=423")</f>
        <v>0</v>
      </c>
      <c r="M45" s="138">
        <f>SUMIFS('Plan rashoda za unos u SAP'!$I$3:$I$501,'Plan rashoda za unos u SAP'!$C$3:$C$501,"=559",'Plan rashoda za unos u SAP'!$M$3:$M$501,"=423")+SUMIFS('ANALITIKA EU PROJEKATA'!$G$3:$G$498,'ANALITIKA EU PROJEKATA'!$A$3:$A$498,"=559",'ANALITIKA EU PROJEKATA'!$P$3:$P$498,"=423")</f>
        <v>0</v>
      </c>
      <c r="N45" s="138">
        <f>SUMIFS('Plan rashoda za unos u SAP'!$I$3:$I$501,'Plan rashoda za unos u SAP'!$C$3:$C$501,"=561",'Plan rashoda za unos u SAP'!$M$3:$M$501,"=423")+SUMIFS('ANALITIKA EU PROJEKATA'!$G$3:$G$498,'ANALITIKA EU PROJEKATA'!$A$3:$A$498,"=561",'ANALITIKA EU PROJEKATA'!$P$3:$P$498,"=423")</f>
        <v>0</v>
      </c>
      <c r="O45" s="138">
        <f>SUMIFS('Plan rashoda za unos u SAP'!$I$3:$I$501,'Plan rashoda za unos u SAP'!$C$3:$C$501,"=563",'Plan rashoda za unos u SAP'!$M$3:$M$501,"=423")+SUMIFS('ANALITIKA EU PROJEKATA'!$G$3:$G$498,'ANALITIKA EU PROJEKATA'!$A$3:$A$498,"=563",'ANALITIKA EU PROJEKATA'!$P$3:$P$498,"=423")</f>
        <v>0</v>
      </c>
      <c r="P45" s="138">
        <f>SUMIFS('Plan rashoda za unos u SAP'!$I$3:$I$501,'Plan rashoda za unos u SAP'!$C$3:$C$501,"=573",'Plan rashoda za unos u SAP'!$M$3:$M$501,"=423")+SUMIFS('ANALITIKA EU PROJEKATA'!$G$3:$G$498,'ANALITIKA EU PROJEKATA'!$A$3:$A$498,"=573",'ANALITIKA EU PROJEKATA'!$P$3:$P$498,"=423")</f>
        <v>0</v>
      </c>
      <c r="Q45" s="138">
        <f>SUMIFS('Plan rashoda za unos u SAP'!$I$3:$I$501,'Plan rashoda za unos u SAP'!$C$3:$C$501,"=575",'Plan rashoda za unos u SAP'!$M$3:$M$501,"=423")+SUMIFS('ANALITIKA EU PROJEKATA'!$G$3:$G$498,'ANALITIKA EU PROJEKATA'!$A$3:$A$498,"=575",'ANALITIKA EU PROJEKATA'!$P$3:$P$498,"=423")</f>
        <v>0</v>
      </c>
      <c r="R45" s="138">
        <f>SUMIFS('Plan rashoda za unos u SAP'!$I$3:$I$501,'Plan rashoda za unos u SAP'!$C$3:$C$501,"=576",'Plan rashoda za unos u SAP'!$M$3:$M$501,"=423")+SUMIFS('ANALITIKA EU PROJEKATA'!$G$3:$G$498,'ANALITIKA EU PROJEKATA'!$A$3:$A$498,"=576",'ANALITIKA EU PROJEKATA'!$P$3:$P$498,"=423")</f>
        <v>0</v>
      </c>
      <c r="S45" s="138">
        <f>SUMIFS('Plan rashoda za unos u SAP'!$I$3:$I$501,'Plan rashoda za unos u SAP'!$C$3:$C$501,"=581",'Plan rashoda za unos u SAP'!$M$3:$M$501,"=423")+SUMIFS('ANALITIKA EU PROJEKATA'!$G$3:$G$498,'ANALITIKA EU PROJEKATA'!$A$3:$A$498,"=581",'ANALITIKA EU PROJEKATA'!$P$3:$P$498,"=423")</f>
        <v>0</v>
      </c>
      <c r="T45" s="138">
        <f>SUMIFS('Plan rashoda za unos u SAP'!$I$3:$I$501,'Plan rashoda za unos u SAP'!$C$3:$C$501,"=61",'Plan rashoda za unos u SAP'!$M$3:$M$501,"=423")+SUMIFS('ANALITIKA EU PROJEKATA'!$G$3:$G$498,'ANALITIKA EU PROJEKATA'!$A$3:$A$498,"=61",'ANALITIKA EU PROJEKATA'!$P$3:$P$498,"=423")</f>
        <v>0</v>
      </c>
      <c r="U45" s="138">
        <f>SUMIFS('Plan rashoda za unos u SAP'!$I$3:$I$501,'Plan rashoda za unos u SAP'!$C$3:$C$501,"=63",'Plan rashoda za unos u SAP'!$M$3:$M$501,"=423")+SUMIFS('ANALITIKA EU PROJEKATA'!$G$3:$G$498,'ANALITIKA EU PROJEKATA'!$A$3:$A$498,"=63",'ANALITIKA EU PROJEKATA'!$P$3:$P$498,"=423")</f>
        <v>0</v>
      </c>
      <c r="V45" s="138">
        <f>SUMIFS('Plan rashoda za unos u SAP'!$I$3:$I$501,'Plan rashoda za unos u SAP'!$C$3:$C$501,"=71",'Plan rashoda za unos u SAP'!$M$3:$M$501,"=423")+SUMIFS('ANALITIKA EU PROJEKATA'!$G$3:$G$498,'ANALITIKA EU PROJEKATA'!$A$3:$A$498,"=71",'ANALITIKA EU PROJEKATA'!$P$3:$P$498,"=423")</f>
        <v>0</v>
      </c>
      <c r="W45" s="138">
        <f>SUMIFS('Plan rashoda za unos u SAP'!$I$3:$I$501,'Plan rashoda za unos u SAP'!$C$3:$C$501,"=81",'Plan rashoda za unos u SAP'!$M$3:$M$501,"=423")+SUMIFS('ANALITIKA EU PROJEKATA'!$G$3:$G$498,'ANALITIKA EU PROJEKATA'!$A$3:$A$498,"=81",'ANALITIKA EU PROJEKATA'!$P$3:$P$498,"=423")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102000</v>
      </c>
      <c r="E46" s="138">
        <f>SUMIFS('Plan rashoda za unos u SAP'!$I$3:$I$501,'Plan rashoda za unos u SAP'!$C$3:$C$501,"=11",'Plan rashoda za unos u SAP'!$M$3:$M$501,"=424")+SUMIFS('ANALITIKA EU PROJEKATA'!$G$3:$G$498,'ANALITIKA EU PROJEKATA'!$A$3:$A$498,"=11",'ANALITIKA EU PROJEKATA'!$P$3:$P$498,"=424")</f>
        <v>100000</v>
      </c>
      <c r="F46" s="138">
        <f>SUMIFS('Plan rashoda za unos u SAP'!$I$3:$I$501,'Plan rashoda za unos u SAP'!$C$3:$C$501,"=12",'Plan rashoda za unos u SAP'!$M$3:$M$501,"=424")+SUMIFS('ANALITIKA EU PROJEKATA'!$G$3:$G$498,'ANALITIKA EU PROJEKATA'!$A$3:$A$498,"=12",'ANALITIKA EU PROJEKATA'!$P$3:$P$498,"=424")</f>
        <v>0</v>
      </c>
      <c r="G46" s="138">
        <f>SUMIFS('Plan rashoda za unos u SAP'!$I$3:$I$501,'Plan rashoda za unos u SAP'!$C$3:$C$501,"=31",'Plan rashoda za unos u SAP'!$M$3:$M$501,"=424")+SUMIFS('ANALITIKA EU PROJEKATA'!$G$3:$G$498,'ANALITIKA EU PROJEKATA'!$A$3:$A$498,"=31",'ANALITIKA EU PROJEKATA'!$P$3:$P$498,"=424")</f>
        <v>2000</v>
      </c>
      <c r="H46" s="138">
        <f>SUMIFS('Plan rashoda za unos u SAP'!$I$3:$I$501,'Plan rashoda za unos u SAP'!$C$3:$C$501,"=41",'Plan rashoda za unos u SAP'!$M$3:$M$501,"=424")+SUMIFS('ANALITIKA EU PROJEKATA'!$G$3:$G$498,'ANALITIKA EU PROJEKATA'!$A$3:$A$498,"=41",'ANALITIKA EU PROJEKATA'!$P$3:$P$498,"=424")</f>
        <v>0</v>
      </c>
      <c r="I46" s="138">
        <f>SUMIFS('Plan rashoda za unos u SAP'!$I$3:$I$501,'Plan rashoda za unos u SAP'!$C$3:$C$501,"=43",'Plan rashoda za unos u SAP'!$M$3:$M$501,"=424")+SUMIFS('ANALITIKA EU PROJEKATA'!$G$3:$G$498,'ANALITIKA EU PROJEKATA'!$A$3:$A$498,"=43",'ANALITIKA EU PROJEKATA'!$P$3:$P$498,"=424")</f>
        <v>0</v>
      </c>
      <c r="J46" s="138">
        <f>SUMIFS('Plan rashoda za unos u SAP'!$I$3:$I$501,'Plan rashoda za unos u SAP'!$C$3:$C$501,"=51",'Plan rashoda za unos u SAP'!$M$3:$M$501,"=424")+SUMIFS('ANALITIKA EU PROJEKATA'!$G$3:$G$498,'ANALITIKA EU PROJEKATA'!$A$3:$A$498,"=51",'ANALITIKA EU PROJEKATA'!$P$3:$P$498,"=424")</f>
        <v>0</v>
      </c>
      <c r="K46" s="138">
        <f>SUMIFS('Plan rashoda za unos u SAP'!$I$3:$I$501,'Plan rashoda za unos u SAP'!$C$3:$C$501,"=52",'Plan rashoda za unos u SAP'!$M$3:$M$501,"=424")+SUMIFS('ANALITIKA EU PROJEKATA'!$G$3:$G$498,'ANALITIKA EU PROJEKATA'!$A$3:$A$498,"=52",'ANALITIKA EU PROJEKATA'!$P$3:$P$498,"=424")</f>
        <v>0</v>
      </c>
      <c r="L46" s="138">
        <f>SUMIFS('Plan rashoda za unos u SAP'!$I$3:$I$501,'Plan rashoda za unos u SAP'!$C$3:$C$501,"=552",'Plan rashoda za unos u SAP'!$M$3:$M$501,"=424")+SUMIFS('ANALITIKA EU PROJEKATA'!$G$3:$G$498,'ANALITIKA EU PROJEKATA'!$A$3:$A$498,"=552",'ANALITIKA EU PROJEKATA'!$P$3:$P$498,"=424")</f>
        <v>0</v>
      </c>
      <c r="M46" s="138">
        <f>SUMIFS('Plan rashoda za unos u SAP'!$I$3:$I$501,'Plan rashoda za unos u SAP'!$C$3:$C$501,"=559",'Plan rashoda za unos u SAP'!$M$3:$M$501,"=424")+SUMIFS('ANALITIKA EU PROJEKATA'!$G$3:$G$498,'ANALITIKA EU PROJEKATA'!$A$3:$A$498,"=559",'ANALITIKA EU PROJEKATA'!$P$3:$P$498,"=424")</f>
        <v>0</v>
      </c>
      <c r="N46" s="138">
        <f>SUMIFS('Plan rashoda za unos u SAP'!$I$3:$I$501,'Plan rashoda za unos u SAP'!$C$3:$C$501,"=561",'Plan rashoda za unos u SAP'!$M$3:$M$501,"=424")+SUMIFS('ANALITIKA EU PROJEKATA'!$G$3:$G$498,'ANALITIKA EU PROJEKATA'!$A$3:$A$498,"=561",'ANALITIKA EU PROJEKATA'!$P$3:$P$498,"=424")</f>
        <v>0</v>
      </c>
      <c r="O46" s="138">
        <f>SUMIFS('Plan rashoda za unos u SAP'!$I$3:$I$501,'Plan rashoda za unos u SAP'!$C$3:$C$501,"=563",'Plan rashoda za unos u SAP'!$M$3:$M$501,"=424")+SUMIFS('ANALITIKA EU PROJEKATA'!$G$3:$G$498,'ANALITIKA EU PROJEKATA'!$A$3:$A$498,"=563",'ANALITIKA EU PROJEKATA'!$P$3:$P$498,"=424")</f>
        <v>0</v>
      </c>
      <c r="P46" s="138">
        <f>SUMIFS('Plan rashoda za unos u SAP'!$I$3:$I$501,'Plan rashoda za unos u SAP'!$C$3:$C$501,"=573",'Plan rashoda za unos u SAP'!$M$3:$M$501,"=424")+SUMIFS('ANALITIKA EU PROJEKATA'!$G$3:$G$498,'ANALITIKA EU PROJEKATA'!$A$3:$A$498,"=573",'ANALITIKA EU PROJEKATA'!$P$3:$P$498,"=424")</f>
        <v>0</v>
      </c>
      <c r="Q46" s="138">
        <f>SUMIFS('Plan rashoda za unos u SAP'!$I$3:$I$501,'Plan rashoda za unos u SAP'!$C$3:$C$501,"=575",'Plan rashoda za unos u SAP'!$M$3:$M$501,"=424")+SUMIFS('ANALITIKA EU PROJEKATA'!$G$3:$G$498,'ANALITIKA EU PROJEKATA'!$A$3:$A$498,"=575",'ANALITIKA EU PROJEKATA'!$P$3:$P$498,"=424")</f>
        <v>0</v>
      </c>
      <c r="R46" s="138">
        <f>SUMIFS('Plan rashoda za unos u SAP'!$I$3:$I$501,'Plan rashoda za unos u SAP'!$C$3:$C$501,"=576",'Plan rashoda za unos u SAP'!$M$3:$M$501,"=424")+SUMIFS('ANALITIKA EU PROJEKATA'!$G$3:$G$498,'ANALITIKA EU PROJEKATA'!$A$3:$A$498,"=576",'ANALITIKA EU PROJEKATA'!$P$3:$P$498,"=424")</f>
        <v>0</v>
      </c>
      <c r="S46" s="138">
        <f>SUMIFS('Plan rashoda za unos u SAP'!$I$3:$I$501,'Plan rashoda za unos u SAP'!$C$3:$C$501,"=581",'Plan rashoda za unos u SAP'!$M$3:$M$501,"=424")+SUMIFS('ANALITIKA EU PROJEKATA'!$G$3:$G$498,'ANALITIKA EU PROJEKATA'!$A$3:$A$498,"=581",'ANALITIKA EU PROJEKATA'!$P$3:$P$498,"=424")</f>
        <v>0</v>
      </c>
      <c r="T46" s="138">
        <f>SUMIFS('Plan rashoda za unos u SAP'!$I$3:$I$501,'Plan rashoda za unos u SAP'!$C$3:$C$501,"=61",'Plan rashoda za unos u SAP'!$M$3:$M$501,"=424")+SUMIFS('ANALITIKA EU PROJEKATA'!$G$3:$G$498,'ANALITIKA EU PROJEKATA'!$A$3:$A$498,"=61",'ANALITIKA EU PROJEKATA'!$P$3:$P$498,"=424")</f>
        <v>0</v>
      </c>
      <c r="U46" s="138">
        <f>SUMIFS('Plan rashoda za unos u SAP'!$I$3:$I$501,'Plan rashoda za unos u SAP'!$C$3:$C$501,"=63",'Plan rashoda za unos u SAP'!$M$3:$M$501,"=424")+SUMIFS('ANALITIKA EU PROJEKATA'!$G$3:$G$498,'ANALITIKA EU PROJEKATA'!$A$3:$A$498,"=63",'ANALITIKA EU PROJEKATA'!$P$3:$P$498,"=424")</f>
        <v>0</v>
      </c>
      <c r="V46" s="138">
        <f>SUMIFS('Plan rashoda za unos u SAP'!$I$3:$I$501,'Plan rashoda za unos u SAP'!$C$3:$C$501,"=71",'Plan rashoda za unos u SAP'!$M$3:$M$501,"=424")+SUMIFS('ANALITIKA EU PROJEKATA'!$G$3:$G$498,'ANALITIKA EU PROJEKATA'!$A$3:$A$498,"=71",'ANALITIKA EU PROJEKATA'!$P$3:$P$498,"=424")</f>
        <v>0</v>
      </c>
      <c r="W46" s="138">
        <f>SUMIFS('Plan rashoda za unos u SAP'!$I$3:$I$501,'Plan rashoda za unos u SAP'!$C$3:$C$501,"=81",'Plan rashoda za unos u SAP'!$M$3:$M$501,"=424")+SUMIFS('ANALITIKA EU PROJEKATA'!$G$3:$G$498,'ANALITIKA EU PROJEKATA'!$A$3:$A$498,"=81",'ANALITIKA EU PROJEKATA'!$P$3:$P$498,"=424")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PROJEKATA'!$G$3:$G$498,'ANALITIKA EU PROJEKATA'!$A$3:$A$498,"=11",'ANALITIKA EU PROJEKATA'!$P$3:$P$498,"=425")</f>
        <v>0</v>
      </c>
      <c r="F47" s="138">
        <f>SUMIFS('Plan rashoda za unos u SAP'!$I$3:$I$501,'Plan rashoda za unos u SAP'!$C$3:$C$501,"=12",'Plan rashoda za unos u SAP'!$M$3:$M$501,"=425")+SUMIFS('ANALITIKA EU PROJEKATA'!$G$3:$G$498,'ANALITIKA EU PROJEKATA'!$A$3:$A$498,"=12",'ANALITIKA EU PROJEKATA'!$P$3:$P$498,"=425")</f>
        <v>0</v>
      </c>
      <c r="G47" s="138">
        <f>SUMIFS('Plan rashoda za unos u SAP'!$I$3:$I$501,'Plan rashoda za unos u SAP'!$C$3:$C$501,"=31",'Plan rashoda za unos u SAP'!$M$3:$M$501,"=425")+SUMIFS('ANALITIKA EU PROJEKATA'!$G$3:$G$498,'ANALITIKA EU PROJEKATA'!$A$3:$A$498,"=31",'ANALITIKA EU PROJEKATA'!$P$3:$P$498,"=425")</f>
        <v>0</v>
      </c>
      <c r="H47" s="138">
        <f>SUMIFS('Plan rashoda za unos u SAP'!$I$3:$I$501,'Plan rashoda za unos u SAP'!$C$3:$C$501,"=41",'Plan rashoda za unos u SAP'!$M$3:$M$501,"=425")+SUMIFS('ANALITIKA EU PROJEKATA'!$G$3:$G$498,'ANALITIKA EU PROJEKATA'!$A$3:$A$498,"=41",'ANALITIKA EU PROJEKATA'!$P$3:$P$498,"=425")</f>
        <v>0</v>
      </c>
      <c r="I47" s="138">
        <f>SUMIFS('Plan rashoda za unos u SAP'!$I$3:$I$501,'Plan rashoda za unos u SAP'!$C$3:$C$501,"=43",'Plan rashoda za unos u SAP'!$M$3:$M$501,"=425")+SUMIFS('ANALITIKA EU PROJEKATA'!$G$3:$G$498,'ANALITIKA EU PROJEKATA'!$A$3:$A$498,"=43",'ANALITIKA EU PROJEKATA'!$P$3:$P$498,"=425")</f>
        <v>0</v>
      </c>
      <c r="J47" s="138">
        <f>SUMIFS('Plan rashoda za unos u SAP'!$I$3:$I$501,'Plan rashoda za unos u SAP'!$C$3:$C$501,"=51",'Plan rashoda za unos u SAP'!$M$3:$M$501,"=425")+SUMIFS('ANALITIKA EU PROJEKATA'!$G$3:$G$498,'ANALITIKA EU PROJEKATA'!$A$3:$A$498,"=51",'ANALITIKA EU PROJEKATA'!$P$3:$P$498,"=425")</f>
        <v>0</v>
      </c>
      <c r="K47" s="138">
        <f>SUMIFS('Plan rashoda za unos u SAP'!$I$3:$I$501,'Plan rashoda za unos u SAP'!$C$3:$C$501,"=52",'Plan rashoda za unos u SAP'!$M$3:$M$501,"=425")+SUMIFS('ANALITIKA EU PROJEKATA'!$G$3:$G$498,'ANALITIKA EU PROJEKATA'!$A$3:$A$498,"=52",'ANALITIKA EU PROJEKATA'!$P$3:$P$498,"=425")</f>
        <v>0</v>
      </c>
      <c r="L47" s="138">
        <f>SUMIFS('Plan rashoda za unos u SAP'!$I$3:$I$501,'Plan rashoda za unos u SAP'!$C$3:$C$501,"=552",'Plan rashoda za unos u SAP'!$M$3:$M$501,"=425")+SUMIFS('ANALITIKA EU PROJEKATA'!$G$3:$G$498,'ANALITIKA EU PROJEKATA'!$A$3:$A$498,"=552",'ANALITIKA EU PROJEKATA'!$P$3:$P$498,"=425")</f>
        <v>0</v>
      </c>
      <c r="M47" s="138">
        <f>SUMIFS('Plan rashoda za unos u SAP'!$I$3:$I$501,'Plan rashoda za unos u SAP'!$C$3:$C$501,"=559",'Plan rashoda za unos u SAP'!$M$3:$M$501,"=425")+SUMIFS('ANALITIKA EU PROJEKATA'!$G$3:$G$498,'ANALITIKA EU PROJEKATA'!$A$3:$A$498,"=559",'ANALITIKA EU PROJEKATA'!$P$3:$P$498,"=425")</f>
        <v>0</v>
      </c>
      <c r="N47" s="138">
        <f>SUMIFS('Plan rashoda za unos u SAP'!$I$3:$I$501,'Plan rashoda za unos u SAP'!$C$3:$C$501,"=561",'Plan rashoda za unos u SAP'!$M$3:$M$501,"=425")+SUMIFS('ANALITIKA EU PROJEKATA'!$G$3:$G$498,'ANALITIKA EU PROJEKATA'!$A$3:$A$498,"=561",'ANALITIKA EU PROJEKATA'!$P$3:$P$498,"=425")</f>
        <v>0</v>
      </c>
      <c r="O47" s="138">
        <f>SUMIFS('Plan rashoda za unos u SAP'!$I$3:$I$501,'Plan rashoda za unos u SAP'!$C$3:$C$501,"=563",'Plan rashoda za unos u SAP'!$M$3:$M$501,"=425")+SUMIFS('ANALITIKA EU PROJEKATA'!$G$3:$G$498,'ANALITIKA EU PROJEKATA'!$A$3:$A$498,"=563",'ANALITIKA EU PROJEKATA'!$P$3:$P$498,"=425")</f>
        <v>0</v>
      </c>
      <c r="P47" s="138">
        <f>SUMIFS('Plan rashoda za unos u SAP'!$I$3:$I$501,'Plan rashoda za unos u SAP'!$C$3:$C$501,"=573",'Plan rashoda za unos u SAP'!$M$3:$M$501,"=425")+SUMIFS('ANALITIKA EU PROJEKATA'!$G$3:$G$498,'ANALITIKA EU PROJEKATA'!$A$3:$A$498,"=573",'ANALITIKA EU PROJEKATA'!$P$3:$P$498,"=425")</f>
        <v>0</v>
      </c>
      <c r="Q47" s="138">
        <f>SUMIFS('Plan rashoda za unos u SAP'!$I$3:$I$501,'Plan rashoda za unos u SAP'!$C$3:$C$501,"=575",'Plan rashoda za unos u SAP'!$M$3:$M$501,"=425")+SUMIFS('ANALITIKA EU PROJEKATA'!$G$3:$G$498,'ANALITIKA EU PROJEKATA'!$A$3:$A$498,"=575",'ANALITIKA EU PROJEKATA'!$P$3:$P$498,"=425")</f>
        <v>0</v>
      </c>
      <c r="R47" s="138">
        <f>SUMIFS('Plan rashoda za unos u SAP'!$I$3:$I$501,'Plan rashoda za unos u SAP'!$C$3:$C$501,"=576",'Plan rashoda za unos u SAP'!$M$3:$M$501,"=425")+SUMIFS('ANALITIKA EU PROJEKATA'!$G$3:$G$498,'ANALITIKA EU PROJEKATA'!$A$3:$A$498,"=576",'ANALITIKA EU PROJEKATA'!$P$3:$P$498,"=425")</f>
        <v>0</v>
      </c>
      <c r="S47" s="138">
        <f>SUMIFS('Plan rashoda za unos u SAP'!$I$3:$I$501,'Plan rashoda za unos u SAP'!$C$3:$C$501,"=581",'Plan rashoda za unos u SAP'!$M$3:$M$501,"=425")+SUMIFS('ANALITIKA EU PROJEKATA'!$G$3:$G$498,'ANALITIKA EU PROJEKATA'!$A$3:$A$498,"=581",'ANALITIKA EU PROJEKATA'!$P$3:$P$498,"=425")</f>
        <v>0</v>
      </c>
      <c r="T47" s="138">
        <f>SUMIFS('Plan rashoda za unos u SAP'!$I$3:$I$501,'Plan rashoda za unos u SAP'!$C$3:$C$501,"=61",'Plan rashoda za unos u SAP'!$M$3:$M$501,"=425")+SUMIFS('ANALITIKA EU PROJEKATA'!$G$3:$G$498,'ANALITIKA EU PROJEKATA'!$A$3:$A$498,"=61",'ANALITIKA EU PROJEKATA'!$P$3:$P$498,"=425")</f>
        <v>0</v>
      </c>
      <c r="U47" s="138">
        <f>SUMIFS('Plan rashoda za unos u SAP'!$I$3:$I$501,'Plan rashoda za unos u SAP'!$C$3:$C$501,"=63",'Plan rashoda za unos u SAP'!$M$3:$M$501,"=425")+SUMIFS('ANALITIKA EU PROJEKATA'!$G$3:$G$498,'ANALITIKA EU PROJEKATA'!$A$3:$A$498,"=63",'ANALITIKA EU PROJEKATA'!$P$3:$P$498,"=425")</f>
        <v>0</v>
      </c>
      <c r="V47" s="138">
        <f>SUMIFS('Plan rashoda za unos u SAP'!$I$3:$I$501,'Plan rashoda za unos u SAP'!$C$3:$C$501,"=71",'Plan rashoda za unos u SAP'!$M$3:$M$501,"=425")+SUMIFS('ANALITIKA EU PROJEKATA'!$G$3:$G$498,'ANALITIKA EU PROJEKATA'!$A$3:$A$498,"=71",'ANALITIKA EU PROJEKATA'!$P$3:$P$498,"=425")</f>
        <v>0</v>
      </c>
      <c r="W47" s="138">
        <f>SUMIFS('Plan rashoda za unos u SAP'!$I$3:$I$501,'Plan rashoda za unos u SAP'!$C$3:$C$501,"=81",'Plan rashoda za unos u SAP'!$M$3:$M$501,"=425")+SUMIFS('ANALITIKA EU PROJEKATA'!$G$3:$G$498,'ANALITIKA EU PROJEKATA'!$A$3:$A$498,"=81",'ANALITIKA EU PROJEKATA'!$P$3:$P$498,"=425")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PROJEKATA'!$G$3:$G$498,'ANALITIKA EU PROJEKATA'!$A$3:$A$498,"=11",'ANALITIKA EU PROJEKATA'!$P$3:$P$498,"=426")</f>
        <v>0</v>
      </c>
      <c r="F48" s="138">
        <f>SUMIFS('Plan rashoda za unos u SAP'!$I$3:$I$501,'Plan rashoda za unos u SAP'!$C$3:$C$501,"=12",'Plan rashoda za unos u SAP'!$M$3:$M$501,"=426")+SUMIFS('ANALITIKA EU PROJEKATA'!$G$3:$G$498,'ANALITIKA EU PROJEKATA'!$A$3:$A$498,"=12",'ANALITIKA EU PROJEKATA'!$P$3:$P$498,"=426")</f>
        <v>0</v>
      </c>
      <c r="G48" s="138">
        <f>SUMIFS('Plan rashoda za unos u SAP'!$I$3:$I$501,'Plan rashoda za unos u SAP'!$C$3:$C$501,"=31",'Plan rashoda za unos u SAP'!$M$3:$M$501,"=426")+SUMIFS('ANALITIKA EU PROJEKATA'!$G$3:$G$498,'ANALITIKA EU PROJEKATA'!$A$3:$A$498,"=31",'ANALITIKA EU PROJEKATA'!$P$3:$P$498,"=426")</f>
        <v>0</v>
      </c>
      <c r="H48" s="138">
        <f>SUMIFS('Plan rashoda za unos u SAP'!$I$3:$I$501,'Plan rashoda za unos u SAP'!$C$3:$C$501,"=41",'Plan rashoda za unos u SAP'!$M$3:$M$501,"=426")+SUMIFS('ANALITIKA EU PROJEKATA'!$G$3:$G$498,'ANALITIKA EU PROJEKATA'!$A$3:$A$498,"=41",'ANALITIKA EU PROJEKATA'!$P$3:$P$498,"=426")</f>
        <v>0</v>
      </c>
      <c r="I48" s="138">
        <f>SUMIFS('Plan rashoda za unos u SAP'!$I$3:$I$501,'Plan rashoda za unos u SAP'!$C$3:$C$501,"=43",'Plan rashoda za unos u SAP'!$M$3:$M$501,"=426")+SUMIFS('ANALITIKA EU PROJEKATA'!$G$3:$G$498,'ANALITIKA EU PROJEKATA'!$A$3:$A$498,"=43",'ANALITIKA EU PROJEKATA'!$P$3:$P$498,"=426")</f>
        <v>0</v>
      </c>
      <c r="J48" s="138">
        <f>SUMIFS('Plan rashoda za unos u SAP'!$I$3:$I$501,'Plan rashoda za unos u SAP'!$C$3:$C$501,"=51",'Plan rashoda za unos u SAP'!$M$3:$M$501,"=426")+SUMIFS('ANALITIKA EU PROJEKATA'!$G$3:$G$498,'ANALITIKA EU PROJEKATA'!$A$3:$A$498,"=51",'ANALITIKA EU PROJEKATA'!$P$3:$P$498,"=426")</f>
        <v>0</v>
      </c>
      <c r="K48" s="138">
        <f>SUMIFS('Plan rashoda za unos u SAP'!$I$3:$I$501,'Plan rashoda za unos u SAP'!$C$3:$C$501,"=52",'Plan rashoda za unos u SAP'!$M$3:$M$501,"=426")+SUMIFS('ANALITIKA EU PROJEKATA'!$G$3:$G$498,'ANALITIKA EU PROJEKATA'!$A$3:$A$498,"=52",'ANALITIKA EU PROJEKATA'!$P$3:$P$498,"=426")</f>
        <v>0</v>
      </c>
      <c r="L48" s="138">
        <f>SUMIFS('Plan rashoda za unos u SAP'!$I$3:$I$501,'Plan rashoda za unos u SAP'!$C$3:$C$501,"=552",'Plan rashoda za unos u SAP'!$M$3:$M$501,"=426")+SUMIFS('ANALITIKA EU PROJEKATA'!$G$3:$G$498,'ANALITIKA EU PROJEKATA'!$A$3:$A$498,"=552",'ANALITIKA EU PROJEKATA'!$P$3:$P$498,"=426")</f>
        <v>0</v>
      </c>
      <c r="M48" s="138">
        <f>SUMIFS('Plan rashoda za unos u SAP'!$I$3:$I$501,'Plan rashoda za unos u SAP'!$C$3:$C$501,"=559",'Plan rashoda za unos u SAP'!$M$3:$M$501,"=426")+SUMIFS('ANALITIKA EU PROJEKATA'!$G$3:$G$498,'ANALITIKA EU PROJEKATA'!$A$3:$A$498,"=559",'ANALITIKA EU PROJEKATA'!$P$3:$P$498,"=426")</f>
        <v>0</v>
      </c>
      <c r="N48" s="138">
        <f>SUMIFS('Plan rashoda za unos u SAP'!$I$3:$I$501,'Plan rashoda za unos u SAP'!$C$3:$C$501,"=561",'Plan rashoda za unos u SAP'!$M$3:$M$501,"=426")+SUMIFS('ANALITIKA EU PROJEKATA'!$G$3:$G$498,'ANALITIKA EU PROJEKATA'!$A$3:$A$498,"=561",'ANALITIKA EU PROJEKATA'!$P$3:$P$498,"=426")</f>
        <v>0</v>
      </c>
      <c r="O48" s="138">
        <f>SUMIFS('Plan rashoda za unos u SAP'!$I$3:$I$501,'Plan rashoda za unos u SAP'!$C$3:$C$501,"=563",'Plan rashoda za unos u SAP'!$M$3:$M$501,"=426")+SUMIFS('ANALITIKA EU PROJEKATA'!$G$3:$G$498,'ANALITIKA EU PROJEKATA'!$A$3:$A$498,"=563",'ANALITIKA EU PROJEKATA'!$P$3:$P$498,"=426")</f>
        <v>0</v>
      </c>
      <c r="P48" s="138">
        <f>SUMIFS('Plan rashoda za unos u SAP'!$I$3:$I$501,'Plan rashoda za unos u SAP'!$C$3:$C$501,"=573",'Plan rashoda za unos u SAP'!$M$3:$M$501,"=426")+SUMIFS('ANALITIKA EU PROJEKATA'!$G$3:$G$498,'ANALITIKA EU PROJEKATA'!$A$3:$A$498,"=573",'ANALITIKA EU PROJEKATA'!$P$3:$P$498,"=426")</f>
        <v>0</v>
      </c>
      <c r="Q48" s="138">
        <f>SUMIFS('Plan rashoda za unos u SAP'!$I$3:$I$501,'Plan rashoda za unos u SAP'!$C$3:$C$501,"=575",'Plan rashoda za unos u SAP'!$M$3:$M$501,"=426")+SUMIFS('ANALITIKA EU PROJEKATA'!$G$3:$G$498,'ANALITIKA EU PROJEKATA'!$A$3:$A$498,"=575",'ANALITIKA EU PROJEKATA'!$P$3:$P$498,"=426")</f>
        <v>0</v>
      </c>
      <c r="R48" s="138">
        <f>SUMIFS('Plan rashoda za unos u SAP'!$I$3:$I$501,'Plan rashoda za unos u SAP'!$C$3:$C$501,"=576",'Plan rashoda za unos u SAP'!$M$3:$M$501,"=426")+SUMIFS('ANALITIKA EU PROJEKATA'!$G$3:$G$498,'ANALITIKA EU PROJEKATA'!$A$3:$A$498,"=576",'ANALITIKA EU PROJEKATA'!$P$3:$P$498,"=426")</f>
        <v>0</v>
      </c>
      <c r="S48" s="138">
        <f>SUMIFS('Plan rashoda za unos u SAP'!$I$3:$I$501,'Plan rashoda za unos u SAP'!$C$3:$C$501,"=581",'Plan rashoda za unos u SAP'!$M$3:$M$501,"=426")+SUMIFS('ANALITIKA EU PROJEKATA'!$G$3:$G$498,'ANALITIKA EU PROJEKATA'!$A$3:$A$498,"=581",'ANALITIKA EU PROJEKATA'!$P$3:$P$498,"=426")</f>
        <v>0</v>
      </c>
      <c r="T48" s="138">
        <f>SUMIFS('Plan rashoda za unos u SAP'!$I$3:$I$501,'Plan rashoda za unos u SAP'!$C$3:$C$501,"=61",'Plan rashoda za unos u SAP'!$M$3:$M$501,"=426")+SUMIFS('ANALITIKA EU PROJEKATA'!$G$3:$G$498,'ANALITIKA EU PROJEKATA'!$A$3:$A$498,"=61",'ANALITIKA EU PROJEKATA'!$P$3:$P$498,"=426")</f>
        <v>0</v>
      </c>
      <c r="U48" s="138">
        <f>SUMIFS('Plan rashoda za unos u SAP'!$I$3:$I$501,'Plan rashoda za unos u SAP'!$C$3:$C$501,"=63",'Plan rashoda za unos u SAP'!$M$3:$M$501,"=426")+SUMIFS('ANALITIKA EU PROJEKATA'!$G$3:$G$498,'ANALITIKA EU PROJEKATA'!$A$3:$A$498,"=63",'ANALITIKA EU PROJEKATA'!$P$3:$P$498,"=426")</f>
        <v>0</v>
      </c>
      <c r="V48" s="138">
        <f>SUMIFS('Plan rashoda za unos u SAP'!$I$3:$I$501,'Plan rashoda za unos u SAP'!$C$3:$C$501,"=71",'Plan rashoda za unos u SAP'!$M$3:$M$501,"=426")+SUMIFS('ANALITIKA EU PROJEKATA'!$G$3:$G$498,'ANALITIKA EU PROJEKATA'!$A$3:$A$498,"=71",'ANALITIKA EU PROJEKATA'!$P$3:$P$498,"=426")</f>
        <v>0</v>
      </c>
      <c r="W48" s="138">
        <f>SUMIFS('Plan rashoda za unos u SAP'!$I$3:$I$501,'Plan rashoda za unos u SAP'!$C$3:$C$501,"=81",'Plan rashoda za unos u SAP'!$M$3:$M$501,"=426")+SUMIFS('ANALITIKA EU PROJEKATA'!$G$3:$G$498,'ANALITIKA EU PROJEKATA'!$A$3:$A$498,"=81",'ANALITIKA EU PROJEKATA'!$P$3:$P$498,"=426")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PROJEKATA'!$G$3:$G$498,'ANALITIKA EU PROJEKATA'!$A$3:$A$498,"=11",'ANALITIKA EU PROJEKATA'!$P$3:$P$498,"=431")</f>
        <v>0</v>
      </c>
      <c r="F50" s="138">
        <f>SUMIFS('Plan rashoda za unos u SAP'!$I$3:$I$501,'Plan rashoda za unos u SAP'!$C$3:$C$501,"=12",'Plan rashoda za unos u SAP'!$M$3:$M$501,"=431")+SUMIFS('ANALITIKA EU PROJEKATA'!$G$3:$G$498,'ANALITIKA EU PROJEKATA'!$A$3:$A$498,"=12",'ANALITIKA EU PROJEKATA'!$P$3:$P$498,"=431")</f>
        <v>0</v>
      </c>
      <c r="G50" s="138">
        <f>SUMIFS('Plan rashoda za unos u SAP'!$I$3:$I$501,'Plan rashoda za unos u SAP'!$C$3:$C$501,"=31",'Plan rashoda za unos u SAP'!$M$3:$M$501,"=431")+SUMIFS('ANALITIKA EU PROJEKATA'!$G$3:$G$498,'ANALITIKA EU PROJEKATA'!$A$3:$A$498,"=31",'ANALITIKA EU PROJEKATA'!$P$3:$P$498,"=431")</f>
        <v>0</v>
      </c>
      <c r="H50" s="138">
        <f>SUMIFS('Plan rashoda za unos u SAP'!$I$3:$I$501,'Plan rashoda za unos u SAP'!$C$3:$C$501,"=41",'Plan rashoda za unos u SAP'!$M$3:$M$501,"=431")+SUMIFS('ANALITIKA EU PROJEKATA'!$G$3:$G$498,'ANALITIKA EU PROJEKATA'!$A$3:$A$498,"=41",'ANALITIKA EU PROJEKATA'!$P$3:$P$498,"=431")</f>
        <v>0</v>
      </c>
      <c r="I50" s="138">
        <f>SUMIFS('Plan rashoda za unos u SAP'!$I$3:$I$501,'Plan rashoda za unos u SAP'!$C$3:$C$501,"=43",'Plan rashoda za unos u SAP'!$M$3:$M$501,"=431")+SUMIFS('ANALITIKA EU PROJEKATA'!$G$3:$G$498,'ANALITIKA EU PROJEKATA'!$A$3:$A$498,"=43",'ANALITIKA EU PROJEKATA'!$P$3:$P$498,"=431")</f>
        <v>0</v>
      </c>
      <c r="J50" s="138">
        <f>SUMIFS('Plan rashoda za unos u SAP'!$I$3:$I$501,'Plan rashoda za unos u SAP'!$C$3:$C$501,"=51",'Plan rashoda za unos u SAP'!$M$3:$M$501,"=431")+SUMIFS('ANALITIKA EU PROJEKATA'!$G$3:$G$498,'ANALITIKA EU PROJEKATA'!$A$3:$A$498,"=51",'ANALITIKA EU PROJEKATA'!$P$3:$P$498,"=431")</f>
        <v>0</v>
      </c>
      <c r="K50" s="138">
        <f>SUMIFS('Plan rashoda za unos u SAP'!$I$3:$I$501,'Plan rashoda za unos u SAP'!$C$3:$C$501,"=52",'Plan rashoda za unos u SAP'!$M$3:$M$501,"=431")+SUMIFS('ANALITIKA EU PROJEKATA'!$G$3:$G$498,'ANALITIKA EU PROJEKATA'!$A$3:$A$498,"=52",'ANALITIKA EU PROJEKATA'!$P$3:$P$498,"=431")</f>
        <v>0</v>
      </c>
      <c r="L50" s="138">
        <f>SUMIFS('Plan rashoda za unos u SAP'!$I$3:$I$501,'Plan rashoda za unos u SAP'!$C$3:$C$501,"=552",'Plan rashoda za unos u SAP'!$M$3:$M$501,"=431")+SUMIFS('ANALITIKA EU PROJEKATA'!$G$3:$G$498,'ANALITIKA EU PROJEKATA'!$A$3:$A$498,"=552",'ANALITIKA EU PROJEKATA'!$P$3:$P$498,"=431")</f>
        <v>0</v>
      </c>
      <c r="M50" s="138">
        <f>SUMIFS('Plan rashoda za unos u SAP'!$I$3:$I$501,'Plan rashoda za unos u SAP'!$C$3:$C$501,"=559",'Plan rashoda za unos u SAP'!$M$3:$M$501,"=431")+SUMIFS('ANALITIKA EU PROJEKATA'!$G$3:$G$498,'ANALITIKA EU PROJEKATA'!$A$3:$A$498,"=559",'ANALITIKA EU PROJEKATA'!$P$3:$P$498,"=431")</f>
        <v>0</v>
      </c>
      <c r="N50" s="138">
        <f>SUMIFS('Plan rashoda za unos u SAP'!$I$3:$I$501,'Plan rashoda za unos u SAP'!$C$3:$C$501,"=561",'Plan rashoda za unos u SAP'!$M$3:$M$501,"=431")+SUMIFS('ANALITIKA EU PROJEKATA'!$G$3:$G$498,'ANALITIKA EU PROJEKATA'!$A$3:$A$498,"=561",'ANALITIKA EU PROJEKATA'!$P$3:$P$498,"=431")</f>
        <v>0</v>
      </c>
      <c r="O50" s="138">
        <f>SUMIFS('Plan rashoda za unos u SAP'!$I$3:$I$501,'Plan rashoda za unos u SAP'!$C$3:$C$501,"=563",'Plan rashoda za unos u SAP'!$M$3:$M$501,"=431")+SUMIFS('ANALITIKA EU PROJEKATA'!$G$3:$G$498,'ANALITIKA EU PROJEKATA'!$A$3:$A$498,"=563",'ANALITIKA EU PROJEKATA'!$P$3:$P$498,"=431")</f>
        <v>0</v>
      </c>
      <c r="P50" s="138">
        <f>SUMIFS('Plan rashoda za unos u SAP'!$I$3:$I$501,'Plan rashoda za unos u SAP'!$C$3:$C$501,"=573",'Plan rashoda za unos u SAP'!$M$3:$M$501,"=431")+SUMIFS('ANALITIKA EU PROJEKATA'!$G$3:$G$498,'ANALITIKA EU PROJEKATA'!$A$3:$A$498,"=573",'ANALITIKA EU PROJEKATA'!$P$3:$P$498,"=431")</f>
        <v>0</v>
      </c>
      <c r="Q50" s="138">
        <f>SUMIFS('Plan rashoda za unos u SAP'!$I$3:$I$501,'Plan rashoda za unos u SAP'!$C$3:$C$501,"=575",'Plan rashoda za unos u SAP'!$M$3:$M$501,"=431")+SUMIFS('ANALITIKA EU PROJEKATA'!$G$3:$G$498,'ANALITIKA EU PROJEKATA'!$A$3:$A$498,"=575",'ANALITIKA EU PROJEKATA'!$P$3:$P$498,"=431")</f>
        <v>0</v>
      </c>
      <c r="R50" s="138">
        <f>SUMIFS('Plan rashoda za unos u SAP'!$I$3:$I$501,'Plan rashoda za unos u SAP'!$C$3:$C$501,"=576",'Plan rashoda za unos u SAP'!$M$3:$M$501,"=431")+SUMIFS('ANALITIKA EU PROJEKATA'!$G$3:$G$498,'ANALITIKA EU PROJEKATA'!$A$3:$A$498,"=576",'ANALITIKA EU PROJEKATA'!$P$3:$P$498,"=431")</f>
        <v>0</v>
      </c>
      <c r="S50" s="138">
        <f>SUMIFS('Plan rashoda za unos u SAP'!$I$3:$I$501,'Plan rashoda za unos u SAP'!$C$3:$C$501,"=581",'Plan rashoda za unos u SAP'!$M$3:$M$501,"=431")+SUMIFS('ANALITIKA EU PROJEKATA'!$G$3:$G$498,'ANALITIKA EU PROJEKATA'!$A$3:$A$498,"=581",'ANALITIKA EU PROJEKATA'!$P$3:$P$498,"=431")</f>
        <v>0</v>
      </c>
      <c r="T50" s="138">
        <f>SUMIFS('Plan rashoda za unos u SAP'!$I$3:$I$501,'Plan rashoda za unos u SAP'!$C$3:$C$501,"=61",'Plan rashoda za unos u SAP'!$M$3:$M$501,"=431")+SUMIFS('ANALITIKA EU PROJEKATA'!$G$3:$G$498,'ANALITIKA EU PROJEKATA'!$A$3:$A$498,"=61",'ANALITIKA EU PROJEKATA'!$P$3:$P$498,"=431")</f>
        <v>0</v>
      </c>
      <c r="U50" s="138">
        <f>SUMIFS('Plan rashoda za unos u SAP'!$I$3:$I$501,'Plan rashoda za unos u SAP'!$C$3:$C$501,"=63",'Plan rashoda za unos u SAP'!$M$3:$M$501,"=431")+SUMIFS('ANALITIKA EU PROJEKATA'!$G$3:$G$498,'ANALITIKA EU PROJEKATA'!$A$3:$A$498,"=63",'ANALITIKA EU PROJEKATA'!$P$3:$P$498,"=431")</f>
        <v>0</v>
      </c>
      <c r="V50" s="138">
        <f>SUMIFS('Plan rashoda za unos u SAP'!$I$3:$I$501,'Plan rashoda za unos u SAP'!$C$3:$C$501,"=71",'Plan rashoda za unos u SAP'!$M$3:$M$501,"=431")+SUMIFS('ANALITIKA EU PROJEKATA'!$G$3:$G$498,'ANALITIKA EU PROJEKATA'!$A$3:$A$498,"=71",'ANALITIKA EU PROJEKATA'!$P$3:$P$498,"=431")</f>
        <v>0</v>
      </c>
      <c r="W50" s="138">
        <f>SUMIFS('Plan rashoda za unos u SAP'!$I$3:$I$501,'Plan rashoda za unos u SAP'!$C$3:$C$501,"=81",'Plan rashoda za unos u SAP'!$M$3:$M$501,"=431")+SUMIFS('ANALITIKA EU PROJEKATA'!$G$3:$G$498,'ANALITIKA EU PROJEKATA'!$A$3:$A$498,"=81",'ANALITIKA EU PROJEKATA'!$P$3:$P$498,"=431")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PROJEKATA'!$G$3:$G$498,'ANALITIKA EU PROJEKATA'!$A$3:$A$498,"=11",'ANALITIKA EU PROJEKATA'!$P$3:$P$498,"=441")</f>
        <v>0</v>
      </c>
      <c r="F52" s="138">
        <f>SUMIFS('Plan rashoda za unos u SAP'!$I$3:$I$501,'Plan rashoda za unos u SAP'!$C$3:$C$501,"=12",'Plan rashoda za unos u SAP'!$M$3:$M$501,"=441")+SUMIFS('ANALITIKA EU PROJEKATA'!$G$3:$G$498,'ANALITIKA EU PROJEKATA'!$A$3:$A$498,"=12",'ANALITIKA EU PROJEKATA'!$P$3:$P$498,"=441")</f>
        <v>0</v>
      </c>
      <c r="G52" s="138">
        <f>SUMIFS('Plan rashoda za unos u SAP'!$I$3:$I$501,'Plan rashoda za unos u SAP'!$C$3:$C$501,"=31",'Plan rashoda za unos u SAP'!$M$3:$M$501,"=441")+SUMIFS('ANALITIKA EU PROJEKATA'!$G$3:$G$498,'ANALITIKA EU PROJEKATA'!$A$3:$A$498,"=31",'ANALITIKA EU PROJEKATA'!$P$3:$P$498,"=441")</f>
        <v>0</v>
      </c>
      <c r="H52" s="138">
        <f>SUMIFS('Plan rashoda za unos u SAP'!$I$3:$I$501,'Plan rashoda za unos u SAP'!$C$3:$C$501,"=41",'Plan rashoda za unos u SAP'!$M$3:$M$501,"=441")+SUMIFS('ANALITIKA EU PROJEKATA'!$G$3:$G$498,'ANALITIKA EU PROJEKATA'!$A$3:$A$498,"=41",'ANALITIKA EU PROJEKATA'!$P$3:$P$498,"=441")</f>
        <v>0</v>
      </c>
      <c r="I52" s="138">
        <f>SUMIFS('Plan rashoda za unos u SAP'!$I$3:$I$501,'Plan rashoda za unos u SAP'!$C$3:$C$501,"=43",'Plan rashoda za unos u SAP'!$M$3:$M$501,"=441")+SUMIFS('ANALITIKA EU PROJEKATA'!$G$3:$G$498,'ANALITIKA EU PROJEKATA'!$A$3:$A$498,"=43",'ANALITIKA EU PROJEKATA'!$P$3:$P$498,"=441")</f>
        <v>0</v>
      </c>
      <c r="J52" s="138">
        <f>SUMIFS('Plan rashoda za unos u SAP'!$I$3:$I$501,'Plan rashoda za unos u SAP'!$C$3:$C$501,"=51",'Plan rashoda za unos u SAP'!$M$3:$M$501,"=441")+SUMIFS('ANALITIKA EU PROJEKATA'!$G$3:$G$498,'ANALITIKA EU PROJEKATA'!$A$3:$A$498,"=51",'ANALITIKA EU PROJEKATA'!$P$3:$P$498,"=441")</f>
        <v>0</v>
      </c>
      <c r="K52" s="138">
        <f>SUMIFS('Plan rashoda za unos u SAP'!$I$3:$I$501,'Plan rashoda za unos u SAP'!$C$3:$C$501,"=52",'Plan rashoda za unos u SAP'!$M$3:$M$501,"=441")+SUMIFS('ANALITIKA EU PROJEKATA'!$G$3:$G$498,'ANALITIKA EU PROJEKATA'!$A$3:$A$498,"=52",'ANALITIKA EU PROJEKATA'!$P$3:$P$498,"=441")</f>
        <v>0</v>
      </c>
      <c r="L52" s="138">
        <f>SUMIFS('Plan rashoda za unos u SAP'!$I$3:$I$501,'Plan rashoda za unos u SAP'!$C$3:$C$501,"=552",'Plan rashoda za unos u SAP'!$M$3:$M$501,"=441")+SUMIFS('ANALITIKA EU PROJEKATA'!$G$3:$G$498,'ANALITIKA EU PROJEKATA'!$A$3:$A$498,"=552",'ANALITIKA EU PROJEKATA'!$P$3:$P$498,"=441")</f>
        <v>0</v>
      </c>
      <c r="M52" s="138">
        <f>SUMIFS('Plan rashoda za unos u SAP'!$I$3:$I$501,'Plan rashoda za unos u SAP'!$C$3:$C$501,"=559",'Plan rashoda za unos u SAP'!$M$3:$M$501,"=441")+SUMIFS('ANALITIKA EU PROJEKATA'!$G$3:$G$498,'ANALITIKA EU PROJEKATA'!$A$3:$A$498,"=559",'ANALITIKA EU PROJEKATA'!$P$3:$P$498,"=441")</f>
        <v>0</v>
      </c>
      <c r="N52" s="138">
        <f>SUMIFS('Plan rashoda za unos u SAP'!$I$3:$I$501,'Plan rashoda za unos u SAP'!$C$3:$C$501,"=561",'Plan rashoda za unos u SAP'!$M$3:$M$501,"=441")+SUMIFS('ANALITIKA EU PROJEKATA'!$G$3:$G$498,'ANALITIKA EU PROJEKATA'!$A$3:$A$498,"=561",'ANALITIKA EU PROJEKATA'!$P$3:$P$498,"=441")</f>
        <v>0</v>
      </c>
      <c r="O52" s="138">
        <f>SUMIFS('Plan rashoda za unos u SAP'!$I$3:$I$501,'Plan rashoda za unos u SAP'!$C$3:$C$501,"=563",'Plan rashoda za unos u SAP'!$M$3:$M$501,"=441")+SUMIFS('ANALITIKA EU PROJEKATA'!$G$3:$G$498,'ANALITIKA EU PROJEKATA'!$A$3:$A$498,"=563",'ANALITIKA EU PROJEKATA'!$P$3:$P$498,"=441")</f>
        <v>0</v>
      </c>
      <c r="P52" s="138">
        <f>SUMIFS('Plan rashoda za unos u SAP'!$I$3:$I$501,'Plan rashoda za unos u SAP'!$C$3:$C$501,"=573",'Plan rashoda za unos u SAP'!$M$3:$M$501,"=441")+SUMIFS('ANALITIKA EU PROJEKATA'!$G$3:$G$498,'ANALITIKA EU PROJEKATA'!$A$3:$A$498,"=573",'ANALITIKA EU PROJEKATA'!$P$3:$P$498,"=441")</f>
        <v>0</v>
      </c>
      <c r="Q52" s="138">
        <f>SUMIFS('Plan rashoda za unos u SAP'!$I$3:$I$501,'Plan rashoda za unos u SAP'!$C$3:$C$501,"=575",'Plan rashoda za unos u SAP'!$M$3:$M$501,"=441")+SUMIFS('ANALITIKA EU PROJEKATA'!$G$3:$G$498,'ANALITIKA EU PROJEKATA'!$A$3:$A$498,"=575",'ANALITIKA EU PROJEKATA'!$P$3:$P$498,"=441")</f>
        <v>0</v>
      </c>
      <c r="R52" s="138">
        <f>SUMIFS('Plan rashoda za unos u SAP'!$I$3:$I$501,'Plan rashoda za unos u SAP'!$C$3:$C$501,"=576",'Plan rashoda za unos u SAP'!$M$3:$M$501,"=441")+SUMIFS('ANALITIKA EU PROJEKATA'!$G$3:$G$498,'ANALITIKA EU PROJEKATA'!$A$3:$A$498,"=576",'ANALITIKA EU PROJEKATA'!$P$3:$P$498,"=441")</f>
        <v>0</v>
      </c>
      <c r="S52" s="138">
        <f>SUMIFS('Plan rashoda za unos u SAP'!$I$3:$I$501,'Plan rashoda za unos u SAP'!$C$3:$C$501,"=581",'Plan rashoda za unos u SAP'!$M$3:$M$501,"=441")+SUMIFS('ANALITIKA EU PROJEKATA'!$G$3:$G$498,'ANALITIKA EU PROJEKATA'!$A$3:$A$498,"=581",'ANALITIKA EU PROJEKATA'!$P$3:$P$498,"=441")</f>
        <v>0</v>
      </c>
      <c r="T52" s="138">
        <f>SUMIFS('Plan rashoda za unos u SAP'!$I$3:$I$501,'Plan rashoda za unos u SAP'!$C$3:$C$501,"=61",'Plan rashoda za unos u SAP'!$M$3:$M$501,"=441")+SUMIFS('ANALITIKA EU PROJEKATA'!$G$3:$G$498,'ANALITIKA EU PROJEKATA'!$A$3:$A$498,"=61",'ANALITIKA EU PROJEKATA'!$P$3:$P$498,"=441")</f>
        <v>0</v>
      </c>
      <c r="U52" s="138">
        <f>SUMIFS('Plan rashoda za unos u SAP'!$I$3:$I$501,'Plan rashoda za unos u SAP'!$C$3:$C$501,"=63",'Plan rashoda za unos u SAP'!$M$3:$M$501,"=441")+SUMIFS('ANALITIKA EU PROJEKATA'!$G$3:$G$498,'ANALITIKA EU PROJEKATA'!$A$3:$A$498,"=63",'ANALITIKA EU PROJEKATA'!$P$3:$P$498,"=441")</f>
        <v>0</v>
      </c>
      <c r="V52" s="138">
        <f>SUMIFS('Plan rashoda za unos u SAP'!$I$3:$I$501,'Plan rashoda za unos u SAP'!$C$3:$C$501,"=71",'Plan rashoda za unos u SAP'!$M$3:$M$501,"=441")+SUMIFS('ANALITIKA EU PROJEKATA'!$G$3:$G$498,'ANALITIKA EU PROJEKATA'!$A$3:$A$498,"=71",'ANALITIKA EU PROJEKATA'!$P$3:$P$498,"=441")</f>
        <v>0</v>
      </c>
      <c r="W52" s="138">
        <f>SUMIFS('Plan rashoda za unos u SAP'!$I$3:$I$501,'Plan rashoda za unos u SAP'!$C$3:$C$501,"=81",'Plan rashoda za unos u SAP'!$M$3:$M$501,"=441")+SUMIFS('ANALITIKA EU PROJEKATA'!$G$3:$G$498,'ANALITIKA EU PROJEKATA'!$A$3:$A$498,"=81",'ANALITIKA EU PROJEKATA'!$P$3:$P$498,"=441")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PROJEKATA'!$G$3:$G$498,'ANALITIKA EU PROJEKATA'!$A$3:$A$498,"=11",'ANALITIKA EU PROJEKATA'!$P$3:$P$498,"=451")</f>
        <v>0</v>
      </c>
      <c r="F54" s="138">
        <f>SUMIFS('Plan rashoda za unos u SAP'!$I$3:$I$501,'Plan rashoda za unos u SAP'!$C$3:$C$501,"=12",'Plan rashoda za unos u SAP'!$M$3:$M$501,"=451")+SUMIFS('ANALITIKA EU PROJEKATA'!$G$3:$G$498,'ANALITIKA EU PROJEKATA'!$A$3:$A$498,"=12",'ANALITIKA EU PROJEKATA'!$P$3:$P$498,"=451")</f>
        <v>0</v>
      </c>
      <c r="G54" s="138">
        <f>SUMIFS('Plan rashoda za unos u SAP'!$I$3:$I$501,'Plan rashoda za unos u SAP'!$C$3:$C$501,"=31",'Plan rashoda za unos u SAP'!$M$3:$M$501,"=451")+SUMIFS('ANALITIKA EU PROJEKATA'!$G$3:$G$498,'ANALITIKA EU PROJEKATA'!$A$3:$A$498,"=31",'ANALITIKA EU PROJEKATA'!$P$3:$P$498,"=451")</f>
        <v>0</v>
      </c>
      <c r="H54" s="138">
        <f>SUMIFS('Plan rashoda za unos u SAP'!$I$3:$I$501,'Plan rashoda za unos u SAP'!$C$3:$C$501,"=41",'Plan rashoda za unos u SAP'!$M$3:$M$501,"=451")+SUMIFS('ANALITIKA EU PROJEKATA'!$G$3:$G$498,'ANALITIKA EU PROJEKATA'!$A$3:$A$498,"=41",'ANALITIKA EU PROJEKATA'!$P$3:$P$498,"=451")</f>
        <v>0</v>
      </c>
      <c r="I54" s="138">
        <f>SUMIFS('Plan rashoda za unos u SAP'!$I$3:$I$501,'Plan rashoda za unos u SAP'!$C$3:$C$501,"=43",'Plan rashoda za unos u SAP'!$M$3:$M$501,"=451")+SUMIFS('ANALITIKA EU PROJEKATA'!$G$3:$G$498,'ANALITIKA EU PROJEKATA'!$A$3:$A$498,"=43",'ANALITIKA EU PROJEKATA'!$P$3:$P$498,"=451")</f>
        <v>0</v>
      </c>
      <c r="J54" s="138">
        <f>SUMIFS('Plan rashoda za unos u SAP'!$I$3:$I$501,'Plan rashoda za unos u SAP'!$C$3:$C$501,"=51",'Plan rashoda za unos u SAP'!$M$3:$M$501,"=451")+SUMIFS('ANALITIKA EU PROJEKATA'!$G$3:$G$498,'ANALITIKA EU PROJEKATA'!$A$3:$A$498,"=51",'ANALITIKA EU PROJEKATA'!$P$3:$P$498,"=451")</f>
        <v>0</v>
      </c>
      <c r="K54" s="138">
        <f>SUMIFS('Plan rashoda za unos u SAP'!$I$3:$I$501,'Plan rashoda za unos u SAP'!$C$3:$C$501,"=52",'Plan rashoda za unos u SAP'!$M$3:$M$501,"=451")+SUMIFS('ANALITIKA EU PROJEKATA'!$G$3:$G$498,'ANALITIKA EU PROJEKATA'!$A$3:$A$498,"=52",'ANALITIKA EU PROJEKATA'!$P$3:$P$498,"=451")</f>
        <v>0</v>
      </c>
      <c r="L54" s="138">
        <f>SUMIFS('Plan rashoda za unos u SAP'!$I$3:$I$501,'Plan rashoda za unos u SAP'!$C$3:$C$501,"=552",'Plan rashoda za unos u SAP'!$M$3:$M$501,"=451")+SUMIFS('ANALITIKA EU PROJEKATA'!$G$3:$G$498,'ANALITIKA EU PROJEKATA'!$A$3:$A$498,"=552",'ANALITIKA EU PROJEKATA'!$P$3:$P$498,"=451")</f>
        <v>0</v>
      </c>
      <c r="M54" s="138">
        <f>SUMIFS('Plan rashoda za unos u SAP'!$I$3:$I$501,'Plan rashoda za unos u SAP'!$C$3:$C$501,"=559",'Plan rashoda za unos u SAP'!$M$3:$M$501,"=451")+SUMIFS('ANALITIKA EU PROJEKATA'!$G$3:$G$498,'ANALITIKA EU PROJEKATA'!$A$3:$A$498,"=559",'ANALITIKA EU PROJEKATA'!$P$3:$P$498,"=451")</f>
        <v>0</v>
      </c>
      <c r="N54" s="138">
        <f>SUMIFS('Plan rashoda za unos u SAP'!$I$3:$I$501,'Plan rashoda za unos u SAP'!$C$3:$C$501,"=561",'Plan rashoda za unos u SAP'!$M$3:$M$501,"=451")+SUMIFS('ANALITIKA EU PROJEKATA'!$G$3:$G$498,'ANALITIKA EU PROJEKATA'!$A$3:$A$498,"=561",'ANALITIKA EU PROJEKATA'!$P$3:$P$498,"=451")</f>
        <v>0</v>
      </c>
      <c r="O54" s="138">
        <f>SUMIFS('Plan rashoda za unos u SAP'!$I$3:$I$501,'Plan rashoda za unos u SAP'!$C$3:$C$501,"=563",'Plan rashoda za unos u SAP'!$M$3:$M$501,"=451")+SUMIFS('ANALITIKA EU PROJEKATA'!$G$3:$G$498,'ANALITIKA EU PROJEKATA'!$A$3:$A$498,"=563",'ANALITIKA EU PROJEKATA'!$P$3:$P$498,"=451")</f>
        <v>0</v>
      </c>
      <c r="P54" s="138">
        <f>SUMIFS('Plan rashoda za unos u SAP'!$I$3:$I$501,'Plan rashoda za unos u SAP'!$C$3:$C$501,"=573",'Plan rashoda za unos u SAP'!$M$3:$M$501,"=451")+SUMIFS('ANALITIKA EU PROJEKATA'!$G$3:$G$498,'ANALITIKA EU PROJEKATA'!$A$3:$A$498,"=573",'ANALITIKA EU PROJEKATA'!$P$3:$P$498,"=451")</f>
        <v>0</v>
      </c>
      <c r="Q54" s="138">
        <f>SUMIFS('Plan rashoda za unos u SAP'!$I$3:$I$501,'Plan rashoda za unos u SAP'!$C$3:$C$501,"=575",'Plan rashoda za unos u SAP'!$M$3:$M$501,"=451")+SUMIFS('ANALITIKA EU PROJEKATA'!$G$3:$G$498,'ANALITIKA EU PROJEKATA'!$A$3:$A$498,"=575",'ANALITIKA EU PROJEKATA'!$P$3:$P$498,"=451")</f>
        <v>0</v>
      </c>
      <c r="R54" s="138">
        <f>SUMIFS('Plan rashoda za unos u SAP'!$I$3:$I$501,'Plan rashoda za unos u SAP'!$C$3:$C$501,"=576",'Plan rashoda za unos u SAP'!$M$3:$M$501,"=451")+SUMIFS('ANALITIKA EU PROJEKATA'!$G$3:$G$498,'ANALITIKA EU PROJEKATA'!$A$3:$A$498,"=576",'ANALITIKA EU PROJEKATA'!$P$3:$P$498,"=451")</f>
        <v>0</v>
      </c>
      <c r="S54" s="138">
        <f>SUMIFS('Plan rashoda za unos u SAP'!$I$3:$I$501,'Plan rashoda za unos u SAP'!$C$3:$C$501,"=581",'Plan rashoda za unos u SAP'!$M$3:$M$501,"=451")+SUMIFS('ANALITIKA EU PROJEKATA'!$G$3:$G$498,'ANALITIKA EU PROJEKATA'!$A$3:$A$498,"=581",'ANALITIKA EU PROJEKATA'!$P$3:$P$498,"=451")</f>
        <v>0</v>
      </c>
      <c r="T54" s="138">
        <f>SUMIFS('Plan rashoda za unos u SAP'!$I$3:$I$501,'Plan rashoda za unos u SAP'!$C$3:$C$501,"=61",'Plan rashoda za unos u SAP'!$M$3:$M$501,"=451")+SUMIFS('ANALITIKA EU PROJEKATA'!$G$3:$G$498,'ANALITIKA EU PROJEKATA'!$A$3:$A$498,"=61",'ANALITIKA EU PROJEKATA'!$P$3:$P$498,"=451")</f>
        <v>0</v>
      </c>
      <c r="U54" s="138">
        <f>SUMIFS('Plan rashoda za unos u SAP'!$I$3:$I$501,'Plan rashoda za unos u SAP'!$C$3:$C$501,"=63",'Plan rashoda za unos u SAP'!$M$3:$M$501,"=451")+SUMIFS('ANALITIKA EU PROJEKATA'!$G$3:$G$498,'ANALITIKA EU PROJEKATA'!$A$3:$A$498,"=63",'ANALITIKA EU PROJEKATA'!$P$3:$P$498,"=451")</f>
        <v>0</v>
      </c>
      <c r="V54" s="138">
        <f>SUMIFS('Plan rashoda za unos u SAP'!$I$3:$I$501,'Plan rashoda za unos u SAP'!$C$3:$C$501,"=71",'Plan rashoda za unos u SAP'!$M$3:$M$501,"=451")+SUMIFS('ANALITIKA EU PROJEKATA'!$G$3:$G$498,'ANALITIKA EU PROJEKATA'!$A$3:$A$498,"=71",'ANALITIKA EU PROJEKATA'!$P$3:$P$498,"=451")</f>
        <v>0</v>
      </c>
      <c r="W54" s="138">
        <f>SUMIFS('Plan rashoda za unos u SAP'!$I$3:$I$501,'Plan rashoda za unos u SAP'!$C$3:$C$501,"=81",'Plan rashoda za unos u SAP'!$M$3:$M$501,"=451")+SUMIFS('ANALITIKA EU PROJEKATA'!$G$3:$G$498,'ANALITIKA EU PROJEKATA'!$A$3:$A$498,"=81",'ANALITIKA EU PROJEKATA'!$P$3:$P$498,"=451")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PROJEKATA'!$G$3:$G$498,'ANALITIKA EU PROJEKATA'!$A$3:$A$498,"=11",'ANALITIKA EU PROJEKATA'!$P$3:$P$498,"=452")</f>
        <v>0</v>
      </c>
      <c r="F55" s="138">
        <f>SUMIFS('Plan rashoda za unos u SAP'!$I$3:$I$501,'Plan rashoda za unos u SAP'!$C$3:$C$501,"=12",'Plan rashoda za unos u SAP'!$M$3:$M$501,"=452")+SUMIFS('ANALITIKA EU PROJEKATA'!$G$3:$G$498,'ANALITIKA EU PROJEKATA'!$A$3:$A$498,"=12",'ANALITIKA EU PROJEKATA'!$P$3:$P$498,"=452")</f>
        <v>0</v>
      </c>
      <c r="G55" s="138">
        <f>SUMIFS('Plan rashoda za unos u SAP'!$I$3:$I$501,'Plan rashoda za unos u SAP'!$C$3:$C$501,"=31",'Plan rashoda za unos u SAP'!$M$3:$M$501,"=452")+SUMIFS('ANALITIKA EU PROJEKATA'!$G$3:$G$498,'ANALITIKA EU PROJEKATA'!$A$3:$A$498,"=31",'ANALITIKA EU PROJEKATA'!$P$3:$P$498,"=452")</f>
        <v>0</v>
      </c>
      <c r="H55" s="138">
        <f>SUMIFS('Plan rashoda za unos u SAP'!$I$3:$I$501,'Plan rashoda za unos u SAP'!$C$3:$C$501,"=41",'Plan rashoda za unos u SAP'!$M$3:$M$501,"=452")+SUMIFS('ANALITIKA EU PROJEKATA'!$G$3:$G$498,'ANALITIKA EU PROJEKATA'!$A$3:$A$498,"=41",'ANALITIKA EU PROJEKATA'!$P$3:$P$498,"=452")</f>
        <v>0</v>
      </c>
      <c r="I55" s="138">
        <f>SUMIFS('Plan rashoda za unos u SAP'!$I$3:$I$501,'Plan rashoda za unos u SAP'!$C$3:$C$501,"=43",'Plan rashoda za unos u SAP'!$M$3:$M$501,"=452")+SUMIFS('ANALITIKA EU PROJEKATA'!$G$3:$G$498,'ANALITIKA EU PROJEKATA'!$A$3:$A$498,"=43",'ANALITIKA EU PROJEKATA'!$P$3:$P$498,"=452")</f>
        <v>0</v>
      </c>
      <c r="J55" s="138">
        <f>SUMIFS('Plan rashoda za unos u SAP'!$I$3:$I$501,'Plan rashoda za unos u SAP'!$C$3:$C$501,"=51",'Plan rashoda za unos u SAP'!$M$3:$M$501,"=452")+SUMIFS('ANALITIKA EU PROJEKATA'!$G$3:$G$498,'ANALITIKA EU PROJEKATA'!$A$3:$A$498,"=51",'ANALITIKA EU PROJEKATA'!$P$3:$P$498,"=452")</f>
        <v>0</v>
      </c>
      <c r="K55" s="138">
        <f>SUMIFS('Plan rashoda za unos u SAP'!$I$3:$I$501,'Plan rashoda za unos u SAP'!$C$3:$C$501,"=52",'Plan rashoda za unos u SAP'!$M$3:$M$501,"=452")+SUMIFS('ANALITIKA EU PROJEKATA'!$G$3:$G$498,'ANALITIKA EU PROJEKATA'!$A$3:$A$498,"=52",'ANALITIKA EU PROJEKATA'!$P$3:$P$498,"=452")</f>
        <v>0</v>
      </c>
      <c r="L55" s="138">
        <f>SUMIFS('Plan rashoda za unos u SAP'!$I$3:$I$501,'Plan rashoda za unos u SAP'!$C$3:$C$501,"=552",'Plan rashoda za unos u SAP'!$M$3:$M$501,"=452")+SUMIFS('ANALITIKA EU PROJEKATA'!$G$3:$G$498,'ANALITIKA EU PROJEKATA'!$A$3:$A$498,"=552",'ANALITIKA EU PROJEKATA'!$P$3:$P$498,"=452")</f>
        <v>0</v>
      </c>
      <c r="M55" s="138">
        <f>SUMIFS('Plan rashoda za unos u SAP'!$I$3:$I$501,'Plan rashoda za unos u SAP'!$C$3:$C$501,"=559",'Plan rashoda za unos u SAP'!$M$3:$M$501,"=452")+SUMIFS('ANALITIKA EU PROJEKATA'!$G$3:$G$498,'ANALITIKA EU PROJEKATA'!$A$3:$A$498,"=559",'ANALITIKA EU PROJEKATA'!$P$3:$P$498,"=452")</f>
        <v>0</v>
      </c>
      <c r="N55" s="138">
        <f>SUMIFS('Plan rashoda za unos u SAP'!$I$3:$I$501,'Plan rashoda za unos u SAP'!$C$3:$C$501,"=561",'Plan rashoda za unos u SAP'!$M$3:$M$501,"=452")+SUMIFS('ANALITIKA EU PROJEKATA'!$G$3:$G$498,'ANALITIKA EU PROJEKATA'!$A$3:$A$498,"=561",'ANALITIKA EU PROJEKATA'!$P$3:$P$498,"=452")</f>
        <v>0</v>
      </c>
      <c r="O55" s="138">
        <f>SUMIFS('Plan rashoda za unos u SAP'!$I$3:$I$501,'Plan rashoda za unos u SAP'!$C$3:$C$501,"=563",'Plan rashoda za unos u SAP'!$M$3:$M$501,"=452")+SUMIFS('ANALITIKA EU PROJEKATA'!$G$3:$G$498,'ANALITIKA EU PROJEKATA'!$A$3:$A$498,"=563",'ANALITIKA EU PROJEKATA'!$P$3:$P$498,"=452")</f>
        <v>0</v>
      </c>
      <c r="P55" s="138">
        <f>SUMIFS('Plan rashoda za unos u SAP'!$I$3:$I$501,'Plan rashoda za unos u SAP'!$C$3:$C$501,"=573",'Plan rashoda za unos u SAP'!$M$3:$M$501,"=452")+SUMIFS('ANALITIKA EU PROJEKATA'!$G$3:$G$498,'ANALITIKA EU PROJEKATA'!$A$3:$A$498,"=573",'ANALITIKA EU PROJEKATA'!$P$3:$P$498,"=452")</f>
        <v>0</v>
      </c>
      <c r="Q55" s="138">
        <f>SUMIFS('Plan rashoda za unos u SAP'!$I$3:$I$501,'Plan rashoda za unos u SAP'!$C$3:$C$501,"=575",'Plan rashoda za unos u SAP'!$M$3:$M$501,"=452")+SUMIFS('ANALITIKA EU PROJEKATA'!$G$3:$G$498,'ANALITIKA EU PROJEKATA'!$A$3:$A$498,"=575",'ANALITIKA EU PROJEKATA'!$P$3:$P$498,"=452")</f>
        <v>0</v>
      </c>
      <c r="R55" s="138">
        <f>SUMIFS('Plan rashoda za unos u SAP'!$I$3:$I$501,'Plan rashoda za unos u SAP'!$C$3:$C$501,"=576",'Plan rashoda za unos u SAP'!$M$3:$M$501,"=452")+SUMIFS('ANALITIKA EU PROJEKATA'!$G$3:$G$498,'ANALITIKA EU PROJEKATA'!$A$3:$A$498,"=576",'ANALITIKA EU PROJEKATA'!$P$3:$P$498,"=452")</f>
        <v>0</v>
      </c>
      <c r="S55" s="138">
        <f>SUMIFS('Plan rashoda za unos u SAP'!$I$3:$I$501,'Plan rashoda za unos u SAP'!$C$3:$C$501,"=581",'Plan rashoda za unos u SAP'!$M$3:$M$501,"=452")+SUMIFS('ANALITIKA EU PROJEKATA'!$G$3:$G$498,'ANALITIKA EU PROJEKATA'!$A$3:$A$498,"=581",'ANALITIKA EU PROJEKATA'!$P$3:$P$498,"=452")</f>
        <v>0</v>
      </c>
      <c r="T55" s="138">
        <f>SUMIFS('Plan rashoda za unos u SAP'!$I$3:$I$501,'Plan rashoda za unos u SAP'!$C$3:$C$501,"=61",'Plan rashoda za unos u SAP'!$M$3:$M$501,"=452")+SUMIFS('ANALITIKA EU PROJEKATA'!$G$3:$G$498,'ANALITIKA EU PROJEKATA'!$A$3:$A$498,"=61",'ANALITIKA EU PROJEKATA'!$P$3:$P$498,"=452")</f>
        <v>0</v>
      </c>
      <c r="U55" s="138">
        <f>SUMIFS('Plan rashoda za unos u SAP'!$I$3:$I$501,'Plan rashoda za unos u SAP'!$C$3:$C$501,"=63",'Plan rashoda za unos u SAP'!$M$3:$M$501,"=452")+SUMIFS('ANALITIKA EU PROJEKATA'!$G$3:$G$498,'ANALITIKA EU PROJEKATA'!$A$3:$A$498,"=63",'ANALITIKA EU PROJEKATA'!$P$3:$P$498,"=452")</f>
        <v>0</v>
      </c>
      <c r="V55" s="138">
        <f>SUMIFS('Plan rashoda za unos u SAP'!$I$3:$I$501,'Plan rashoda za unos u SAP'!$C$3:$C$501,"=71",'Plan rashoda za unos u SAP'!$M$3:$M$501,"=452")+SUMIFS('ANALITIKA EU PROJEKATA'!$G$3:$G$498,'ANALITIKA EU PROJEKATA'!$A$3:$A$498,"=71",'ANALITIKA EU PROJEKATA'!$P$3:$P$498,"=452")</f>
        <v>0</v>
      </c>
      <c r="W55" s="138">
        <f>SUMIFS('Plan rashoda za unos u SAP'!$I$3:$I$501,'Plan rashoda za unos u SAP'!$C$3:$C$501,"=81",'Plan rashoda za unos u SAP'!$M$3:$M$501,"=452")+SUMIFS('ANALITIKA EU PROJEKATA'!$G$3:$G$498,'ANALITIKA EU PROJEKATA'!$A$3:$A$498,"=81",'ANALITIKA EU PROJEKATA'!$P$3:$P$498,"=452")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PROJEKATA'!$G$3:$G$498,'ANALITIKA EU PROJEKATA'!$A$3:$A$498,"=11",'ANALITIKA EU PROJEKATA'!$P$3:$P$498,"=453")</f>
        <v>0</v>
      </c>
      <c r="F56" s="138">
        <f>SUMIFS('Plan rashoda za unos u SAP'!$I$3:$I$501,'Plan rashoda za unos u SAP'!$C$3:$C$501,"=12",'Plan rashoda za unos u SAP'!$M$3:$M$501,"=453")+SUMIFS('ANALITIKA EU PROJEKATA'!$G$3:$G$498,'ANALITIKA EU PROJEKATA'!$A$3:$A$498,"=12",'ANALITIKA EU PROJEKATA'!$P$3:$P$498,"=453")</f>
        <v>0</v>
      </c>
      <c r="G56" s="138">
        <f>SUMIFS('Plan rashoda za unos u SAP'!$I$3:$I$501,'Plan rashoda za unos u SAP'!$C$3:$C$501,"=31",'Plan rashoda za unos u SAP'!$M$3:$M$501,"=453")+SUMIFS('ANALITIKA EU PROJEKATA'!$G$3:$G$498,'ANALITIKA EU PROJEKATA'!$A$3:$A$498,"=31",'ANALITIKA EU PROJEKATA'!$P$3:$P$498,"=453")</f>
        <v>0</v>
      </c>
      <c r="H56" s="138">
        <f>SUMIFS('Plan rashoda za unos u SAP'!$I$3:$I$501,'Plan rashoda za unos u SAP'!$C$3:$C$501,"=41",'Plan rashoda za unos u SAP'!$M$3:$M$501,"=453")+SUMIFS('ANALITIKA EU PROJEKATA'!$G$3:$G$498,'ANALITIKA EU PROJEKATA'!$A$3:$A$498,"=41",'ANALITIKA EU PROJEKATA'!$P$3:$P$498,"=453")</f>
        <v>0</v>
      </c>
      <c r="I56" s="138">
        <f>SUMIFS('Plan rashoda za unos u SAP'!$I$3:$I$501,'Plan rashoda za unos u SAP'!$C$3:$C$501,"=43",'Plan rashoda za unos u SAP'!$M$3:$M$501,"=453")+SUMIFS('ANALITIKA EU PROJEKATA'!$G$3:$G$498,'ANALITIKA EU PROJEKATA'!$A$3:$A$498,"=43",'ANALITIKA EU PROJEKATA'!$P$3:$P$498,"=453")</f>
        <v>0</v>
      </c>
      <c r="J56" s="138">
        <f>SUMIFS('Plan rashoda za unos u SAP'!$I$3:$I$501,'Plan rashoda za unos u SAP'!$C$3:$C$501,"=51",'Plan rashoda za unos u SAP'!$M$3:$M$501,"=453")+SUMIFS('ANALITIKA EU PROJEKATA'!$G$3:$G$498,'ANALITIKA EU PROJEKATA'!$A$3:$A$498,"=51",'ANALITIKA EU PROJEKATA'!$P$3:$P$498,"=453")</f>
        <v>0</v>
      </c>
      <c r="K56" s="138">
        <f>SUMIFS('Plan rashoda za unos u SAP'!$I$3:$I$501,'Plan rashoda za unos u SAP'!$C$3:$C$501,"=52",'Plan rashoda za unos u SAP'!$M$3:$M$501,"=453")+SUMIFS('ANALITIKA EU PROJEKATA'!$G$3:$G$498,'ANALITIKA EU PROJEKATA'!$A$3:$A$498,"=52",'ANALITIKA EU PROJEKATA'!$P$3:$P$498,"=453")</f>
        <v>0</v>
      </c>
      <c r="L56" s="138">
        <f>SUMIFS('Plan rashoda za unos u SAP'!$I$3:$I$501,'Plan rashoda za unos u SAP'!$C$3:$C$501,"=552",'Plan rashoda za unos u SAP'!$M$3:$M$501,"=453")+SUMIFS('ANALITIKA EU PROJEKATA'!$G$3:$G$498,'ANALITIKA EU PROJEKATA'!$A$3:$A$498,"=552",'ANALITIKA EU PROJEKATA'!$P$3:$P$498,"=453")</f>
        <v>0</v>
      </c>
      <c r="M56" s="138">
        <f>SUMIFS('Plan rashoda za unos u SAP'!$I$3:$I$501,'Plan rashoda za unos u SAP'!$C$3:$C$501,"=559",'Plan rashoda za unos u SAP'!$M$3:$M$501,"=453")+SUMIFS('ANALITIKA EU PROJEKATA'!$G$3:$G$498,'ANALITIKA EU PROJEKATA'!$A$3:$A$498,"=559",'ANALITIKA EU PROJEKATA'!$P$3:$P$498,"=453")</f>
        <v>0</v>
      </c>
      <c r="N56" s="138">
        <f>SUMIFS('Plan rashoda za unos u SAP'!$I$3:$I$501,'Plan rashoda za unos u SAP'!$C$3:$C$501,"=561",'Plan rashoda za unos u SAP'!$M$3:$M$501,"=453")+SUMIFS('ANALITIKA EU PROJEKATA'!$G$3:$G$498,'ANALITIKA EU PROJEKATA'!$A$3:$A$498,"=561",'ANALITIKA EU PROJEKATA'!$P$3:$P$498,"=453")</f>
        <v>0</v>
      </c>
      <c r="O56" s="138">
        <f>SUMIFS('Plan rashoda za unos u SAP'!$I$3:$I$501,'Plan rashoda za unos u SAP'!$C$3:$C$501,"=563",'Plan rashoda za unos u SAP'!$M$3:$M$501,"=453")+SUMIFS('ANALITIKA EU PROJEKATA'!$G$3:$G$498,'ANALITIKA EU PROJEKATA'!$A$3:$A$498,"=563",'ANALITIKA EU PROJEKATA'!$P$3:$P$498,"=453")</f>
        <v>0</v>
      </c>
      <c r="P56" s="138">
        <f>SUMIFS('Plan rashoda za unos u SAP'!$I$3:$I$501,'Plan rashoda za unos u SAP'!$C$3:$C$501,"=573",'Plan rashoda za unos u SAP'!$M$3:$M$501,"=453")+SUMIFS('ANALITIKA EU PROJEKATA'!$G$3:$G$498,'ANALITIKA EU PROJEKATA'!$A$3:$A$498,"=573",'ANALITIKA EU PROJEKATA'!$P$3:$P$498,"=453")</f>
        <v>0</v>
      </c>
      <c r="Q56" s="138">
        <f>SUMIFS('Plan rashoda za unos u SAP'!$I$3:$I$501,'Plan rashoda za unos u SAP'!$C$3:$C$501,"=575",'Plan rashoda za unos u SAP'!$M$3:$M$501,"=453")+SUMIFS('ANALITIKA EU PROJEKATA'!$G$3:$G$498,'ANALITIKA EU PROJEKATA'!$A$3:$A$498,"=575",'ANALITIKA EU PROJEKATA'!$P$3:$P$498,"=453")</f>
        <v>0</v>
      </c>
      <c r="R56" s="138">
        <f>SUMIFS('Plan rashoda za unos u SAP'!$I$3:$I$501,'Plan rashoda za unos u SAP'!$C$3:$C$501,"=576",'Plan rashoda za unos u SAP'!$M$3:$M$501,"=453")+SUMIFS('ANALITIKA EU PROJEKATA'!$G$3:$G$498,'ANALITIKA EU PROJEKATA'!$A$3:$A$498,"=576",'ANALITIKA EU PROJEKATA'!$P$3:$P$498,"=453")</f>
        <v>0</v>
      </c>
      <c r="S56" s="138">
        <f>SUMIFS('Plan rashoda za unos u SAP'!$I$3:$I$501,'Plan rashoda za unos u SAP'!$C$3:$C$501,"=581",'Plan rashoda za unos u SAP'!$M$3:$M$501,"=453")+SUMIFS('ANALITIKA EU PROJEKATA'!$G$3:$G$498,'ANALITIKA EU PROJEKATA'!$A$3:$A$498,"=581",'ANALITIKA EU PROJEKATA'!$P$3:$P$498,"=453")</f>
        <v>0</v>
      </c>
      <c r="T56" s="138">
        <f>SUMIFS('Plan rashoda za unos u SAP'!$I$3:$I$501,'Plan rashoda za unos u SAP'!$C$3:$C$501,"=61",'Plan rashoda za unos u SAP'!$M$3:$M$501,"=453")+SUMIFS('ANALITIKA EU PROJEKATA'!$G$3:$G$498,'ANALITIKA EU PROJEKATA'!$A$3:$A$498,"=61",'ANALITIKA EU PROJEKATA'!$P$3:$P$498,"=453")</f>
        <v>0</v>
      </c>
      <c r="U56" s="138">
        <f>SUMIFS('Plan rashoda za unos u SAP'!$I$3:$I$501,'Plan rashoda za unos u SAP'!$C$3:$C$501,"=63",'Plan rashoda za unos u SAP'!$M$3:$M$501,"=453")+SUMIFS('ANALITIKA EU PROJEKATA'!$G$3:$G$498,'ANALITIKA EU PROJEKATA'!$A$3:$A$498,"=63",'ANALITIKA EU PROJEKATA'!$P$3:$P$498,"=453")</f>
        <v>0</v>
      </c>
      <c r="V56" s="138">
        <f>SUMIFS('Plan rashoda za unos u SAP'!$I$3:$I$501,'Plan rashoda za unos u SAP'!$C$3:$C$501,"=71",'Plan rashoda za unos u SAP'!$M$3:$M$501,"=453")+SUMIFS('ANALITIKA EU PROJEKATA'!$G$3:$G$498,'ANALITIKA EU PROJEKATA'!$A$3:$A$498,"=71",'ANALITIKA EU PROJEKATA'!$P$3:$P$498,"=453")</f>
        <v>0</v>
      </c>
      <c r="W56" s="138">
        <f>SUMIFS('Plan rashoda za unos u SAP'!$I$3:$I$501,'Plan rashoda za unos u SAP'!$C$3:$C$501,"=81",'Plan rashoda za unos u SAP'!$M$3:$M$501,"=453")+SUMIFS('ANALITIKA EU PROJEKATA'!$G$3:$G$498,'ANALITIKA EU PROJEKATA'!$A$3:$A$498,"=81",'ANALITIKA EU PROJEKATA'!$P$3:$P$498,"=453")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PROJEKATA'!$G$3:$G$498,'ANALITIKA EU PROJEKATA'!$A$3:$A$498,"=11",'ANALITIKA EU PROJEKATA'!$P$3:$P$498,"=454")</f>
        <v>0</v>
      </c>
      <c r="F57" s="138">
        <f>SUMIFS('Plan rashoda za unos u SAP'!$I$3:$I$501,'Plan rashoda za unos u SAP'!$C$3:$C$501,"=12",'Plan rashoda za unos u SAP'!$M$3:$M$501,"=454")+SUMIFS('ANALITIKA EU PROJEKATA'!$G$3:$G$498,'ANALITIKA EU PROJEKATA'!$A$3:$A$498,"=12",'ANALITIKA EU PROJEKATA'!$P$3:$P$498,"=454")</f>
        <v>0</v>
      </c>
      <c r="G57" s="138">
        <f>SUMIFS('Plan rashoda za unos u SAP'!$I$3:$I$501,'Plan rashoda za unos u SAP'!$C$3:$C$501,"=31",'Plan rashoda za unos u SAP'!$M$3:$M$501,"=454")+SUMIFS('ANALITIKA EU PROJEKATA'!$G$3:$G$498,'ANALITIKA EU PROJEKATA'!$A$3:$A$498,"=31",'ANALITIKA EU PROJEKATA'!$P$3:$P$498,"=454")</f>
        <v>0</v>
      </c>
      <c r="H57" s="138">
        <f>SUMIFS('Plan rashoda za unos u SAP'!$I$3:$I$501,'Plan rashoda za unos u SAP'!$C$3:$C$501,"=41",'Plan rashoda za unos u SAP'!$M$3:$M$501,"=454")+SUMIFS('ANALITIKA EU PROJEKATA'!$G$3:$G$498,'ANALITIKA EU PROJEKATA'!$A$3:$A$498,"=41",'ANALITIKA EU PROJEKATA'!$P$3:$P$498,"=454")</f>
        <v>0</v>
      </c>
      <c r="I57" s="138">
        <f>SUMIFS('Plan rashoda za unos u SAP'!$I$3:$I$501,'Plan rashoda za unos u SAP'!$C$3:$C$501,"=43",'Plan rashoda za unos u SAP'!$M$3:$M$501,"=454")+SUMIFS('ANALITIKA EU PROJEKATA'!$G$3:$G$498,'ANALITIKA EU PROJEKATA'!$A$3:$A$498,"=43",'ANALITIKA EU PROJEKATA'!$P$3:$P$498,"=454")</f>
        <v>0</v>
      </c>
      <c r="J57" s="138">
        <f>SUMIFS('Plan rashoda za unos u SAP'!$I$3:$I$501,'Plan rashoda za unos u SAP'!$C$3:$C$501,"=51",'Plan rashoda za unos u SAP'!$M$3:$M$501,"=454")+SUMIFS('ANALITIKA EU PROJEKATA'!$G$3:$G$498,'ANALITIKA EU PROJEKATA'!$A$3:$A$498,"=51",'ANALITIKA EU PROJEKATA'!$P$3:$P$498,"=454")</f>
        <v>0</v>
      </c>
      <c r="K57" s="138">
        <f>SUMIFS('Plan rashoda za unos u SAP'!$I$3:$I$501,'Plan rashoda za unos u SAP'!$C$3:$C$501,"=52",'Plan rashoda za unos u SAP'!$M$3:$M$501,"=454")+SUMIFS('ANALITIKA EU PROJEKATA'!$G$3:$G$498,'ANALITIKA EU PROJEKATA'!$A$3:$A$498,"=52",'ANALITIKA EU PROJEKATA'!$P$3:$P$498,"=454")</f>
        <v>0</v>
      </c>
      <c r="L57" s="138">
        <f>SUMIFS('Plan rashoda za unos u SAP'!$I$3:$I$501,'Plan rashoda za unos u SAP'!$C$3:$C$501,"=552",'Plan rashoda za unos u SAP'!$M$3:$M$501,"=454")+SUMIFS('ANALITIKA EU PROJEKATA'!$G$3:$G$498,'ANALITIKA EU PROJEKATA'!$A$3:$A$498,"=552",'ANALITIKA EU PROJEKATA'!$P$3:$P$498,"=454")</f>
        <v>0</v>
      </c>
      <c r="M57" s="138">
        <f>SUMIFS('Plan rashoda za unos u SAP'!$I$3:$I$501,'Plan rashoda za unos u SAP'!$C$3:$C$501,"=559",'Plan rashoda za unos u SAP'!$M$3:$M$501,"=454")+SUMIFS('ANALITIKA EU PROJEKATA'!$G$3:$G$498,'ANALITIKA EU PROJEKATA'!$A$3:$A$498,"=559",'ANALITIKA EU PROJEKATA'!$P$3:$P$498,"=454")</f>
        <v>0</v>
      </c>
      <c r="N57" s="138">
        <f>SUMIFS('Plan rashoda za unos u SAP'!$I$3:$I$501,'Plan rashoda za unos u SAP'!$C$3:$C$501,"=561",'Plan rashoda za unos u SAP'!$M$3:$M$501,"=454")+SUMIFS('ANALITIKA EU PROJEKATA'!$G$3:$G$498,'ANALITIKA EU PROJEKATA'!$A$3:$A$498,"=561",'ANALITIKA EU PROJEKATA'!$P$3:$P$498,"=454")</f>
        <v>0</v>
      </c>
      <c r="O57" s="138">
        <f>SUMIFS('Plan rashoda za unos u SAP'!$I$3:$I$501,'Plan rashoda za unos u SAP'!$C$3:$C$501,"=563",'Plan rashoda za unos u SAP'!$M$3:$M$501,"=454")+SUMIFS('ANALITIKA EU PROJEKATA'!$G$3:$G$498,'ANALITIKA EU PROJEKATA'!$A$3:$A$498,"=563",'ANALITIKA EU PROJEKATA'!$P$3:$P$498,"=454")</f>
        <v>0</v>
      </c>
      <c r="P57" s="138">
        <f>SUMIFS('Plan rashoda za unos u SAP'!$I$3:$I$501,'Plan rashoda za unos u SAP'!$C$3:$C$501,"=573",'Plan rashoda za unos u SAP'!$M$3:$M$501,"=454")+SUMIFS('ANALITIKA EU PROJEKATA'!$G$3:$G$498,'ANALITIKA EU PROJEKATA'!$A$3:$A$498,"=573",'ANALITIKA EU PROJEKATA'!$P$3:$P$498,"=454")</f>
        <v>0</v>
      </c>
      <c r="Q57" s="138">
        <f>SUMIFS('Plan rashoda za unos u SAP'!$I$3:$I$501,'Plan rashoda za unos u SAP'!$C$3:$C$501,"=575",'Plan rashoda za unos u SAP'!$M$3:$M$501,"=454")+SUMIFS('ANALITIKA EU PROJEKATA'!$G$3:$G$498,'ANALITIKA EU PROJEKATA'!$A$3:$A$498,"=575",'ANALITIKA EU PROJEKATA'!$P$3:$P$498,"=454")</f>
        <v>0</v>
      </c>
      <c r="R57" s="138">
        <f>SUMIFS('Plan rashoda za unos u SAP'!$I$3:$I$501,'Plan rashoda za unos u SAP'!$C$3:$C$501,"=576",'Plan rashoda za unos u SAP'!$M$3:$M$501,"=454")+SUMIFS('ANALITIKA EU PROJEKATA'!$G$3:$G$498,'ANALITIKA EU PROJEKATA'!$A$3:$A$498,"=576",'ANALITIKA EU PROJEKATA'!$P$3:$P$498,"=454")</f>
        <v>0</v>
      </c>
      <c r="S57" s="138">
        <f>SUMIFS('Plan rashoda za unos u SAP'!$I$3:$I$501,'Plan rashoda za unos u SAP'!$C$3:$C$501,"=581",'Plan rashoda za unos u SAP'!$M$3:$M$501,"=454")+SUMIFS('ANALITIKA EU PROJEKATA'!$G$3:$G$498,'ANALITIKA EU PROJEKATA'!$A$3:$A$498,"=581",'ANALITIKA EU PROJEKATA'!$P$3:$P$498,"=454")</f>
        <v>0</v>
      </c>
      <c r="T57" s="138">
        <f>SUMIFS('Plan rashoda za unos u SAP'!$I$3:$I$501,'Plan rashoda za unos u SAP'!$C$3:$C$501,"=61",'Plan rashoda za unos u SAP'!$M$3:$M$501,"=454")+SUMIFS('ANALITIKA EU PROJEKATA'!$G$3:$G$498,'ANALITIKA EU PROJEKATA'!$A$3:$A$498,"=61",'ANALITIKA EU PROJEKATA'!$P$3:$P$498,"=454")</f>
        <v>0</v>
      </c>
      <c r="U57" s="138">
        <f>SUMIFS('Plan rashoda za unos u SAP'!$I$3:$I$501,'Plan rashoda za unos u SAP'!$C$3:$C$501,"=63",'Plan rashoda za unos u SAP'!$M$3:$M$501,"=454")+SUMIFS('ANALITIKA EU PROJEKATA'!$G$3:$G$498,'ANALITIKA EU PROJEKATA'!$A$3:$A$498,"=63",'ANALITIKA EU PROJEKATA'!$P$3:$P$498,"=454")</f>
        <v>0</v>
      </c>
      <c r="V57" s="138">
        <f>SUMIFS('Plan rashoda za unos u SAP'!$I$3:$I$501,'Plan rashoda za unos u SAP'!$C$3:$C$501,"=71",'Plan rashoda za unos u SAP'!$M$3:$M$501,"=454")+SUMIFS('ANALITIKA EU PROJEKATA'!$G$3:$G$498,'ANALITIKA EU PROJEKATA'!$A$3:$A$498,"=71",'ANALITIKA EU PROJEKATA'!$P$3:$P$498,"=454")</f>
        <v>0</v>
      </c>
      <c r="W57" s="138">
        <f>SUMIFS('Plan rashoda za unos u SAP'!$I$3:$I$501,'Plan rashoda za unos u SAP'!$C$3:$C$501,"=81",'Plan rashoda za unos u SAP'!$M$3:$M$501,"=454")+SUMIFS('ANALITIKA EU PROJEKATA'!$G$3:$G$498,'ANALITIKA EU PROJEKATA'!$A$3:$A$498,"=81",'ANALITIKA EU PROJEKATA'!$P$3:$P$498,"=454")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PROJEKATA'!$G$3:$G$498,'ANALITIKA EU PROJEKATA'!$A$3:$A$498,"=11",'ANALITIKA EU PROJEKATA'!$P$3:$P$498,"=512")</f>
        <v>0</v>
      </c>
      <c r="F60" s="138">
        <f>SUMIFS('Plan rashoda za unos u SAP'!$I$3:$I$501,'Plan rashoda za unos u SAP'!$C$3:$C$501,"=12",'Plan rashoda za unos u SAP'!$M$3:$M$501,"=512")+SUMIFS('ANALITIKA EU PROJEKATA'!$G$3:$G$498,'ANALITIKA EU PROJEKATA'!$A$3:$A$498,"=12",'ANALITIKA EU PROJEKATA'!$P$3:$P$498,"=512")</f>
        <v>0</v>
      </c>
      <c r="G60" s="138">
        <f>SUMIFS('Plan rashoda za unos u SAP'!$I$3:$I$501,'Plan rashoda za unos u SAP'!$C$3:$C$501,"=31",'Plan rashoda za unos u SAP'!$M$3:$M$501,"=512")+SUMIFS('ANALITIKA EU PROJEKATA'!$G$3:$G$498,'ANALITIKA EU PROJEKATA'!$A$3:$A$498,"=31",'ANALITIKA EU PROJEKATA'!$P$3:$P$498,"=512")</f>
        <v>0</v>
      </c>
      <c r="H60" s="138">
        <f>SUMIFS('Plan rashoda za unos u SAP'!$I$3:$I$501,'Plan rashoda za unos u SAP'!$C$3:$C$501,"=41",'Plan rashoda za unos u SAP'!$M$3:$M$501,"=512")+SUMIFS('ANALITIKA EU PROJEKATA'!$G$3:$G$498,'ANALITIKA EU PROJEKATA'!$A$3:$A$498,"=41",'ANALITIKA EU PROJEKATA'!$P$3:$P$498,"=512")</f>
        <v>0</v>
      </c>
      <c r="I60" s="138">
        <f>SUMIFS('Plan rashoda za unos u SAP'!$I$3:$I$501,'Plan rashoda za unos u SAP'!$C$3:$C$501,"=43",'Plan rashoda za unos u SAP'!$M$3:$M$501,"=512")+SUMIFS('ANALITIKA EU PROJEKATA'!$G$3:$G$498,'ANALITIKA EU PROJEKATA'!$A$3:$A$498,"=43",'ANALITIKA EU PROJEKATA'!$P$3:$P$498,"=512")</f>
        <v>0</v>
      </c>
      <c r="J60" s="138">
        <f>SUMIFS('Plan rashoda za unos u SAP'!$I$3:$I$501,'Plan rashoda za unos u SAP'!$C$3:$C$501,"=51",'Plan rashoda za unos u SAP'!$M$3:$M$501,"=512")+SUMIFS('ANALITIKA EU PROJEKATA'!$G$3:$G$498,'ANALITIKA EU PROJEKATA'!$A$3:$A$498,"=51",'ANALITIKA EU PROJEKATA'!$P$3:$P$498,"=512")</f>
        <v>0</v>
      </c>
      <c r="K60" s="138">
        <f>SUMIFS('Plan rashoda za unos u SAP'!$I$3:$I$501,'Plan rashoda za unos u SAP'!$C$3:$C$501,"=52",'Plan rashoda za unos u SAP'!$M$3:$M$501,"=512")+SUMIFS('ANALITIKA EU PROJEKATA'!$G$3:$G$498,'ANALITIKA EU PROJEKATA'!$A$3:$A$498,"=52",'ANALITIKA EU PROJEKATA'!$P$3:$P$498,"=512")</f>
        <v>0</v>
      </c>
      <c r="L60" s="138">
        <f>SUMIFS('Plan rashoda za unos u SAP'!$I$3:$I$501,'Plan rashoda za unos u SAP'!$C$3:$C$501,"=552",'Plan rashoda za unos u SAP'!$M$3:$M$501,"=512")+SUMIFS('ANALITIKA EU PROJEKATA'!$G$3:$G$498,'ANALITIKA EU PROJEKATA'!$A$3:$A$498,"=552",'ANALITIKA EU PROJEKATA'!$P$3:$P$498,"=512")</f>
        <v>0</v>
      </c>
      <c r="M60" s="138">
        <f>SUMIFS('Plan rashoda za unos u SAP'!$I$3:$I$501,'Plan rashoda za unos u SAP'!$C$3:$C$501,"=559",'Plan rashoda za unos u SAP'!$M$3:$M$501,"=512")+SUMIFS('ANALITIKA EU PROJEKATA'!$G$3:$G$498,'ANALITIKA EU PROJEKATA'!$A$3:$A$498,"=559",'ANALITIKA EU PROJEKATA'!$P$3:$P$498,"=512")</f>
        <v>0</v>
      </c>
      <c r="N60" s="138">
        <f>SUMIFS('Plan rashoda za unos u SAP'!$I$3:$I$501,'Plan rashoda za unos u SAP'!$C$3:$C$501,"=561",'Plan rashoda za unos u SAP'!$M$3:$M$501,"=512")+SUMIFS('ANALITIKA EU PROJEKATA'!$G$3:$G$498,'ANALITIKA EU PROJEKATA'!$A$3:$A$498,"=561",'ANALITIKA EU PROJEKATA'!$P$3:$P$498,"=512")</f>
        <v>0</v>
      </c>
      <c r="O60" s="138">
        <f>SUMIFS('Plan rashoda za unos u SAP'!$I$3:$I$501,'Plan rashoda za unos u SAP'!$C$3:$C$501,"=563",'Plan rashoda za unos u SAP'!$M$3:$M$501,"=512")+SUMIFS('ANALITIKA EU PROJEKATA'!$G$3:$G$498,'ANALITIKA EU PROJEKATA'!$A$3:$A$498,"=563",'ANALITIKA EU PROJEKATA'!$P$3:$P$498,"=512")</f>
        <v>0</v>
      </c>
      <c r="P60" s="138">
        <f>SUMIFS('Plan rashoda za unos u SAP'!$I$3:$I$501,'Plan rashoda za unos u SAP'!$C$3:$C$501,"=573",'Plan rashoda za unos u SAP'!$M$3:$M$501,"=512")+SUMIFS('ANALITIKA EU PROJEKATA'!$G$3:$G$498,'ANALITIKA EU PROJEKATA'!$A$3:$A$498,"=573",'ANALITIKA EU PROJEKATA'!$P$3:$P$498,"=512")</f>
        <v>0</v>
      </c>
      <c r="Q60" s="138">
        <f>SUMIFS('Plan rashoda za unos u SAP'!$I$3:$I$501,'Plan rashoda za unos u SAP'!$C$3:$C$501,"=575",'Plan rashoda za unos u SAP'!$M$3:$M$501,"=512")+SUMIFS('ANALITIKA EU PROJEKATA'!$G$3:$G$498,'ANALITIKA EU PROJEKATA'!$A$3:$A$498,"=575",'ANALITIKA EU PROJEKATA'!$P$3:$P$498,"=512")</f>
        <v>0</v>
      </c>
      <c r="R60" s="138">
        <f>SUMIFS('Plan rashoda za unos u SAP'!$I$3:$I$501,'Plan rashoda za unos u SAP'!$C$3:$C$501,"=576",'Plan rashoda za unos u SAP'!$M$3:$M$501,"=512")+SUMIFS('ANALITIKA EU PROJEKATA'!$G$3:$G$498,'ANALITIKA EU PROJEKATA'!$A$3:$A$498,"=576",'ANALITIKA EU PROJEKATA'!$P$3:$P$498,"=512")</f>
        <v>0</v>
      </c>
      <c r="S60" s="138">
        <f>SUMIFS('Plan rashoda za unos u SAP'!$I$3:$I$501,'Plan rashoda za unos u SAP'!$C$3:$C$501,"=581",'Plan rashoda za unos u SAP'!$M$3:$M$501,"=512")+SUMIFS('ANALITIKA EU PROJEKATA'!$G$3:$G$498,'ANALITIKA EU PROJEKATA'!$A$3:$A$498,"=581",'ANALITIKA EU PROJEKATA'!$P$3:$P$498,"=512")</f>
        <v>0</v>
      </c>
      <c r="T60" s="138">
        <f>SUMIFS('Plan rashoda za unos u SAP'!$I$3:$I$501,'Plan rashoda za unos u SAP'!$C$3:$C$501,"=61",'Plan rashoda za unos u SAP'!$M$3:$M$501,"=512")+SUMIFS('ANALITIKA EU PROJEKATA'!$G$3:$G$498,'ANALITIKA EU PROJEKATA'!$A$3:$A$498,"=61",'ANALITIKA EU PROJEKATA'!$P$3:$P$498,"=512")</f>
        <v>0</v>
      </c>
      <c r="U60" s="138">
        <f>SUMIFS('Plan rashoda za unos u SAP'!$I$3:$I$501,'Plan rashoda za unos u SAP'!$C$3:$C$501,"=63",'Plan rashoda za unos u SAP'!$M$3:$M$501,"=512")+SUMIFS('ANALITIKA EU PROJEKATA'!$G$3:$G$498,'ANALITIKA EU PROJEKATA'!$A$3:$A$498,"=63",'ANALITIKA EU PROJEKATA'!$P$3:$P$498,"=512")</f>
        <v>0</v>
      </c>
      <c r="V60" s="138">
        <f>SUMIFS('Plan rashoda za unos u SAP'!$I$3:$I$501,'Plan rashoda za unos u SAP'!$C$3:$C$501,"=71",'Plan rashoda za unos u SAP'!$M$3:$M$501,"=512")+SUMIFS('ANALITIKA EU PROJEKATA'!$G$3:$G$498,'ANALITIKA EU PROJEKATA'!$A$3:$A$498,"=71",'ANALITIKA EU PROJEKATA'!$P$3:$P$498,"=512")</f>
        <v>0</v>
      </c>
      <c r="W60" s="138">
        <f>SUMIFS('Plan rashoda za unos u SAP'!$I$3:$I$501,'Plan rashoda za unos u SAP'!$C$3:$C$501,"=81",'Plan rashoda za unos u SAP'!$M$3:$M$501,"=512")+SUMIFS('ANALITIKA EU PROJEKATA'!$G$3:$G$498,'ANALITIKA EU PROJEKATA'!$A$3:$A$498,"=81",'ANALITIKA EU PROJEKATA'!$P$3:$P$498,"=512")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PROJEKATA'!$G$3:$G$498,'ANALITIKA EU PROJEKATA'!$A$3:$A$498,"=11",'ANALITIKA EU PROJEKATA'!$P$3:$P$498,"=514")</f>
        <v>0</v>
      </c>
      <c r="F61" s="138">
        <f>SUMIFS('Plan rashoda za unos u SAP'!$I$3:$I$501,'Plan rashoda za unos u SAP'!$C$3:$C$501,"=12",'Plan rashoda za unos u SAP'!$M$3:$M$501,"=514")+SUMIFS('ANALITIKA EU PROJEKATA'!$G$3:$G$498,'ANALITIKA EU PROJEKATA'!$A$3:$A$498,"=12",'ANALITIKA EU PROJEKATA'!$P$3:$P$498,"=514")</f>
        <v>0</v>
      </c>
      <c r="G61" s="138">
        <f>SUMIFS('Plan rashoda za unos u SAP'!$I$3:$I$501,'Plan rashoda za unos u SAP'!$C$3:$C$501,"=31",'Plan rashoda za unos u SAP'!$M$3:$M$501,"=514")+SUMIFS('ANALITIKA EU PROJEKATA'!$G$3:$G$498,'ANALITIKA EU PROJEKATA'!$A$3:$A$498,"=31",'ANALITIKA EU PROJEKATA'!$P$3:$P$498,"=514")</f>
        <v>0</v>
      </c>
      <c r="H61" s="138">
        <f>SUMIFS('Plan rashoda za unos u SAP'!$I$3:$I$501,'Plan rashoda za unos u SAP'!$C$3:$C$501,"=41",'Plan rashoda za unos u SAP'!$M$3:$M$501,"=514")+SUMIFS('ANALITIKA EU PROJEKATA'!$G$3:$G$498,'ANALITIKA EU PROJEKATA'!$A$3:$A$498,"=41",'ANALITIKA EU PROJEKATA'!$P$3:$P$498,"=514")</f>
        <v>0</v>
      </c>
      <c r="I61" s="138">
        <f>SUMIFS('Plan rashoda za unos u SAP'!$I$3:$I$501,'Plan rashoda za unos u SAP'!$C$3:$C$501,"=43",'Plan rashoda za unos u SAP'!$M$3:$M$501,"=514")+SUMIFS('ANALITIKA EU PROJEKATA'!$G$3:$G$498,'ANALITIKA EU PROJEKATA'!$A$3:$A$498,"=43",'ANALITIKA EU PROJEKATA'!$P$3:$P$498,"=514")</f>
        <v>0</v>
      </c>
      <c r="J61" s="138">
        <f>SUMIFS('Plan rashoda za unos u SAP'!$I$3:$I$501,'Plan rashoda za unos u SAP'!$C$3:$C$501,"=51",'Plan rashoda za unos u SAP'!$M$3:$M$501,"=514")+SUMIFS('ANALITIKA EU PROJEKATA'!$G$3:$G$498,'ANALITIKA EU PROJEKATA'!$A$3:$A$498,"=51",'ANALITIKA EU PROJEKATA'!$P$3:$P$498,"=514")</f>
        <v>0</v>
      </c>
      <c r="K61" s="138">
        <f>SUMIFS('Plan rashoda za unos u SAP'!$I$3:$I$501,'Plan rashoda za unos u SAP'!$C$3:$C$501,"=52",'Plan rashoda za unos u SAP'!$M$3:$M$501,"=514")+SUMIFS('ANALITIKA EU PROJEKATA'!$G$3:$G$498,'ANALITIKA EU PROJEKATA'!$A$3:$A$498,"=52",'ANALITIKA EU PROJEKATA'!$P$3:$P$498,"=514")</f>
        <v>0</v>
      </c>
      <c r="L61" s="138">
        <f>SUMIFS('Plan rashoda za unos u SAP'!$I$3:$I$501,'Plan rashoda za unos u SAP'!$C$3:$C$501,"=552",'Plan rashoda za unos u SAP'!$M$3:$M$501,"=514")+SUMIFS('ANALITIKA EU PROJEKATA'!$G$3:$G$498,'ANALITIKA EU PROJEKATA'!$A$3:$A$498,"=552",'ANALITIKA EU PROJEKATA'!$P$3:$P$498,"=514")</f>
        <v>0</v>
      </c>
      <c r="M61" s="138">
        <f>SUMIFS('Plan rashoda za unos u SAP'!$I$3:$I$501,'Plan rashoda za unos u SAP'!$C$3:$C$501,"=559",'Plan rashoda za unos u SAP'!$M$3:$M$501,"=514")+SUMIFS('ANALITIKA EU PROJEKATA'!$G$3:$G$498,'ANALITIKA EU PROJEKATA'!$A$3:$A$498,"=559",'ANALITIKA EU PROJEKATA'!$P$3:$P$498,"=514")</f>
        <v>0</v>
      </c>
      <c r="N61" s="138">
        <f>SUMIFS('Plan rashoda za unos u SAP'!$I$3:$I$501,'Plan rashoda za unos u SAP'!$C$3:$C$501,"=561",'Plan rashoda za unos u SAP'!$M$3:$M$501,"=514")+SUMIFS('ANALITIKA EU PROJEKATA'!$G$3:$G$498,'ANALITIKA EU PROJEKATA'!$A$3:$A$498,"=561",'ANALITIKA EU PROJEKATA'!$P$3:$P$498,"=514")</f>
        <v>0</v>
      </c>
      <c r="O61" s="138">
        <f>SUMIFS('Plan rashoda za unos u SAP'!$I$3:$I$501,'Plan rashoda za unos u SAP'!$C$3:$C$501,"=563",'Plan rashoda za unos u SAP'!$M$3:$M$501,"=514")+SUMIFS('ANALITIKA EU PROJEKATA'!$G$3:$G$498,'ANALITIKA EU PROJEKATA'!$A$3:$A$498,"=563",'ANALITIKA EU PROJEKATA'!$P$3:$P$498,"=514")</f>
        <v>0</v>
      </c>
      <c r="P61" s="138">
        <f>SUMIFS('Plan rashoda za unos u SAP'!$I$3:$I$501,'Plan rashoda za unos u SAP'!$C$3:$C$501,"=573",'Plan rashoda za unos u SAP'!$M$3:$M$501,"=514")+SUMIFS('ANALITIKA EU PROJEKATA'!$G$3:$G$498,'ANALITIKA EU PROJEKATA'!$A$3:$A$498,"=573",'ANALITIKA EU PROJEKATA'!$P$3:$P$498,"=514")</f>
        <v>0</v>
      </c>
      <c r="Q61" s="138">
        <f>SUMIFS('Plan rashoda za unos u SAP'!$I$3:$I$501,'Plan rashoda za unos u SAP'!$C$3:$C$501,"=575",'Plan rashoda za unos u SAP'!$M$3:$M$501,"=514")+SUMIFS('ANALITIKA EU PROJEKATA'!$G$3:$G$498,'ANALITIKA EU PROJEKATA'!$A$3:$A$498,"=575",'ANALITIKA EU PROJEKATA'!$P$3:$P$498,"=514")</f>
        <v>0</v>
      </c>
      <c r="R61" s="138">
        <f>SUMIFS('Plan rashoda za unos u SAP'!$I$3:$I$501,'Plan rashoda za unos u SAP'!$C$3:$C$501,"=576",'Plan rashoda za unos u SAP'!$M$3:$M$501,"=514")+SUMIFS('ANALITIKA EU PROJEKATA'!$G$3:$G$498,'ANALITIKA EU PROJEKATA'!$A$3:$A$498,"=576",'ANALITIKA EU PROJEKATA'!$P$3:$P$498,"=514")</f>
        <v>0</v>
      </c>
      <c r="S61" s="138">
        <f>SUMIFS('Plan rashoda za unos u SAP'!$I$3:$I$501,'Plan rashoda za unos u SAP'!$C$3:$C$501,"=581",'Plan rashoda za unos u SAP'!$M$3:$M$501,"=514")+SUMIFS('ANALITIKA EU PROJEKATA'!$G$3:$G$498,'ANALITIKA EU PROJEKATA'!$A$3:$A$498,"=581",'ANALITIKA EU PROJEKATA'!$P$3:$P$498,"=514")</f>
        <v>0</v>
      </c>
      <c r="T61" s="138">
        <f>SUMIFS('Plan rashoda za unos u SAP'!$I$3:$I$501,'Plan rashoda za unos u SAP'!$C$3:$C$501,"=61",'Plan rashoda za unos u SAP'!$M$3:$M$501,"=514")+SUMIFS('ANALITIKA EU PROJEKATA'!$G$3:$G$498,'ANALITIKA EU PROJEKATA'!$A$3:$A$498,"=61",'ANALITIKA EU PROJEKATA'!$P$3:$P$498,"=514")</f>
        <v>0</v>
      </c>
      <c r="U61" s="138">
        <f>SUMIFS('Plan rashoda za unos u SAP'!$I$3:$I$501,'Plan rashoda za unos u SAP'!$C$3:$C$501,"=63",'Plan rashoda za unos u SAP'!$M$3:$M$501,"=514")+SUMIFS('ANALITIKA EU PROJEKATA'!$G$3:$G$498,'ANALITIKA EU PROJEKATA'!$A$3:$A$498,"=63",'ANALITIKA EU PROJEKATA'!$P$3:$P$498,"=514")</f>
        <v>0</v>
      </c>
      <c r="V61" s="138">
        <f>SUMIFS('Plan rashoda za unos u SAP'!$I$3:$I$501,'Plan rashoda za unos u SAP'!$C$3:$C$501,"=71",'Plan rashoda za unos u SAP'!$M$3:$M$501,"=514")+SUMIFS('ANALITIKA EU PROJEKATA'!$G$3:$G$498,'ANALITIKA EU PROJEKATA'!$A$3:$A$498,"=71",'ANALITIKA EU PROJEKATA'!$P$3:$P$498,"=514")</f>
        <v>0</v>
      </c>
      <c r="W61" s="138">
        <f>SUMIFS('Plan rashoda za unos u SAP'!$I$3:$I$501,'Plan rashoda za unos u SAP'!$C$3:$C$501,"=81",'Plan rashoda za unos u SAP'!$M$3:$M$501,"=514")+SUMIFS('ANALITIKA EU PROJEKATA'!$G$3:$G$498,'ANALITIKA EU PROJEKATA'!$A$3:$A$498,"=81",'ANALITIKA EU PROJEKATA'!$P$3:$P$498,"=514")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PROJEKATA'!$G$3:$G$498,'ANALITIKA EU PROJEKATA'!$A$3:$A$498,"=11",'ANALITIKA EU PROJEKATA'!$P$3:$P$498,"=518")</f>
        <v>0</v>
      </c>
      <c r="F62" s="138">
        <f>SUMIFS('Plan rashoda za unos u SAP'!$I$3:$I$501,'Plan rashoda za unos u SAP'!$C$3:$C$501,"=12",'Plan rashoda za unos u SAP'!$M$3:$M$501,"=518")+SUMIFS('ANALITIKA EU PROJEKATA'!$G$3:$G$498,'ANALITIKA EU PROJEKATA'!$A$3:$A$498,"=12",'ANALITIKA EU PROJEKATA'!$P$3:$P$498,"=518")</f>
        <v>0</v>
      </c>
      <c r="G62" s="138">
        <f>SUMIFS('Plan rashoda za unos u SAP'!$I$3:$I$501,'Plan rashoda za unos u SAP'!$C$3:$C$501,"=31",'Plan rashoda za unos u SAP'!$M$3:$M$501,"=518")+SUMIFS('ANALITIKA EU PROJEKATA'!$G$3:$G$498,'ANALITIKA EU PROJEKATA'!$A$3:$A$498,"=31",'ANALITIKA EU PROJEKATA'!$P$3:$P$498,"=518")</f>
        <v>0</v>
      </c>
      <c r="H62" s="138">
        <f>SUMIFS('Plan rashoda za unos u SAP'!$I$3:$I$501,'Plan rashoda za unos u SAP'!$C$3:$C$501,"=41",'Plan rashoda za unos u SAP'!$M$3:$M$501,"=518")+SUMIFS('ANALITIKA EU PROJEKATA'!$G$3:$G$498,'ANALITIKA EU PROJEKATA'!$A$3:$A$498,"=41",'ANALITIKA EU PROJEKATA'!$P$3:$P$498,"=518")</f>
        <v>0</v>
      </c>
      <c r="I62" s="138">
        <f>SUMIFS('Plan rashoda za unos u SAP'!$I$3:$I$501,'Plan rashoda za unos u SAP'!$C$3:$C$501,"=43",'Plan rashoda za unos u SAP'!$M$3:$M$501,"=518")+SUMIFS('ANALITIKA EU PROJEKATA'!$G$3:$G$498,'ANALITIKA EU PROJEKATA'!$A$3:$A$498,"=43",'ANALITIKA EU PROJEKATA'!$P$3:$P$498,"=518")</f>
        <v>0</v>
      </c>
      <c r="J62" s="138">
        <f>SUMIFS('Plan rashoda za unos u SAP'!$I$3:$I$501,'Plan rashoda za unos u SAP'!$C$3:$C$501,"=51",'Plan rashoda za unos u SAP'!$M$3:$M$501,"=518")+SUMIFS('ANALITIKA EU PROJEKATA'!$G$3:$G$498,'ANALITIKA EU PROJEKATA'!$A$3:$A$498,"=51",'ANALITIKA EU PROJEKATA'!$P$3:$P$498,"=518")</f>
        <v>0</v>
      </c>
      <c r="K62" s="138">
        <f>SUMIFS('Plan rashoda za unos u SAP'!$I$3:$I$501,'Plan rashoda za unos u SAP'!$C$3:$C$501,"=52",'Plan rashoda za unos u SAP'!$M$3:$M$501,"=518")+SUMIFS('ANALITIKA EU PROJEKATA'!$G$3:$G$498,'ANALITIKA EU PROJEKATA'!$A$3:$A$498,"=52",'ANALITIKA EU PROJEKATA'!$P$3:$P$498,"=518")</f>
        <v>0</v>
      </c>
      <c r="L62" s="138">
        <f>SUMIFS('Plan rashoda za unos u SAP'!$I$3:$I$501,'Plan rashoda za unos u SAP'!$C$3:$C$501,"=552",'Plan rashoda za unos u SAP'!$M$3:$M$501,"=518")+SUMIFS('ANALITIKA EU PROJEKATA'!$G$3:$G$498,'ANALITIKA EU PROJEKATA'!$A$3:$A$498,"=552",'ANALITIKA EU PROJEKATA'!$P$3:$P$498,"=518")</f>
        <v>0</v>
      </c>
      <c r="M62" s="138">
        <f>SUMIFS('Plan rashoda za unos u SAP'!$I$3:$I$501,'Plan rashoda za unos u SAP'!$C$3:$C$501,"=559",'Plan rashoda za unos u SAP'!$M$3:$M$501,"=518")+SUMIFS('ANALITIKA EU PROJEKATA'!$G$3:$G$498,'ANALITIKA EU PROJEKATA'!$A$3:$A$498,"=559",'ANALITIKA EU PROJEKATA'!$P$3:$P$498,"=518")</f>
        <v>0</v>
      </c>
      <c r="N62" s="138">
        <f>SUMIFS('Plan rashoda za unos u SAP'!$I$3:$I$501,'Plan rashoda za unos u SAP'!$C$3:$C$501,"=561",'Plan rashoda za unos u SAP'!$M$3:$M$501,"=518")+SUMIFS('ANALITIKA EU PROJEKATA'!$G$3:$G$498,'ANALITIKA EU PROJEKATA'!$A$3:$A$498,"=561",'ANALITIKA EU PROJEKATA'!$P$3:$P$498,"=518")</f>
        <v>0</v>
      </c>
      <c r="O62" s="138">
        <f>SUMIFS('Plan rashoda za unos u SAP'!$I$3:$I$501,'Plan rashoda za unos u SAP'!$C$3:$C$501,"=563",'Plan rashoda za unos u SAP'!$M$3:$M$501,"=518")+SUMIFS('ANALITIKA EU PROJEKATA'!$G$3:$G$498,'ANALITIKA EU PROJEKATA'!$A$3:$A$498,"=563",'ANALITIKA EU PROJEKATA'!$P$3:$P$498,"=518")</f>
        <v>0</v>
      </c>
      <c r="P62" s="138">
        <f>SUMIFS('Plan rashoda za unos u SAP'!$I$3:$I$501,'Plan rashoda za unos u SAP'!$C$3:$C$501,"=573",'Plan rashoda za unos u SAP'!$M$3:$M$501,"=518")+SUMIFS('ANALITIKA EU PROJEKATA'!$G$3:$G$498,'ANALITIKA EU PROJEKATA'!$A$3:$A$498,"=573",'ANALITIKA EU PROJEKATA'!$P$3:$P$498,"=518")</f>
        <v>0</v>
      </c>
      <c r="Q62" s="138">
        <f>SUMIFS('Plan rashoda za unos u SAP'!$I$3:$I$501,'Plan rashoda za unos u SAP'!$C$3:$C$501,"=575",'Plan rashoda za unos u SAP'!$M$3:$M$501,"=518")+SUMIFS('ANALITIKA EU PROJEKATA'!$G$3:$G$498,'ANALITIKA EU PROJEKATA'!$A$3:$A$498,"=575",'ANALITIKA EU PROJEKATA'!$P$3:$P$498,"=518")</f>
        <v>0</v>
      </c>
      <c r="R62" s="138">
        <f>SUMIFS('Plan rashoda za unos u SAP'!$I$3:$I$501,'Plan rashoda za unos u SAP'!$C$3:$C$501,"=576",'Plan rashoda za unos u SAP'!$M$3:$M$501,"=518")+SUMIFS('ANALITIKA EU PROJEKATA'!$G$3:$G$498,'ANALITIKA EU PROJEKATA'!$A$3:$A$498,"=576",'ANALITIKA EU PROJEKATA'!$P$3:$P$498,"=518")</f>
        <v>0</v>
      </c>
      <c r="S62" s="138">
        <f>SUMIFS('Plan rashoda za unos u SAP'!$I$3:$I$501,'Plan rashoda za unos u SAP'!$C$3:$C$501,"=581",'Plan rashoda za unos u SAP'!$M$3:$M$501,"=518")+SUMIFS('ANALITIKA EU PROJEKATA'!$G$3:$G$498,'ANALITIKA EU PROJEKATA'!$A$3:$A$498,"=581",'ANALITIKA EU PROJEKATA'!$P$3:$P$498,"=518")</f>
        <v>0</v>
      </c>
      <c r="T62" s="138">
        <f>SUMIFS('Plan rashoda za unos u SAP'!$I$3:$I$501,'Plan rashoda za unos u SAP'!$C$3:$C$501,"=61",'Plan rashoda za unos u SAP'!$M$3:$M$501,"=518")+SUMIFS('ANALITIKA EU PROJEKATA'!$G$3:$G$498,'ANALITIKA EU PROJEKATA'!$A$3:$A$498,"=61",'ANALITIKA EU PROJEKATA'!$P$3:$P$498,"=518")</f>
        <v>0</v>
      </c>
      <c r="U62" s="138">
        <f>SUMIFS('Plan rashoda za unos u SAP'!$I$3:$I$501,'Plan rashoda za unos u SAP'!$C$3:$C$501,"=63",'Plan rashoda za unos u SAP'!$M$3:$M$501,"=518")+SUMIFS('ANALITIKA EU PROJEKATA'!$G$3:$G$498,'ANALITIKA EU PROJEKATA'!$A$3:$A$498,"=63",'ANALITIKA EU PROJEKATA'!$P$3:$P$498,"=518")</f>
        <v>0</v>
      </c>
      <c r="V62" s="138">
        <f>SUMIFS('Plan rashoda za unos u SAP'!$I$3:$I$501,'Plan rashoda za unos u SAP'!$C$3:$C$501,"=71",'Plan rashoda za unos u SAP'!$M$3:$M$501,"=518")+SUMIFS('ANALITIKA EU PROJEKATA'!$G$3:$G$498,'ANALITIKA EU PROJEKATA'!$A$3:$A$498,"=71",'ANALITIKA EU PROJEKATA'!$P$3:$P$498,"=518")</f>
        <v>0</v>
      </c>
      <c r="W62" s="138">
        <f>SUMIFS('Plan rashoda za unos u SAP'!$I$3:$I$501,'Plan rashoda za unos u SAP'!$C$3:$C$501,"=81",'Plan rashoda za unos u SAP'!$M$3:$M$501,"=518")+SUMIFS('ANALITIKA EU PROJEKATA'!$G$3:$G$498,'ANALITIKA EU PROJEKATA'!$A$3:$A$498,"=81",'ANALITIKA EU PROJEKATA'!$P$3:$P$498,"=518")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PROJEKATA'!$G$3:$G$498,'ANALITIKA EU PROJEKATA'!$A$3:$A$498,"=11",'ANALITIKA EU PROJEKATA'!$P$3:$P$498,"=542")</f>
        <v>0</v>
      </c>
      <c r="F64" s="138">
        <f>SUMIFS('Plan rashoda za unos u SAP'!$I$3:$I$501,'Plan rashoda za unos u SAP'!$C$3:$C$501,"=12",'Plan rashoda za unos u SAP'!$M$3:$M$501,"=542")+SUMIFS('ANALITIKA EU PROJEKATA'!$G$3:$G$498,'ANALITIKA EU PROJEKATA'!$A$3:$A$498,"=12",'ANALITIKA EU PROJEKATA'!$P$3:$P$498,"=542")</f>
        <v>0</v>
      </c>
      <c r="G64" s="138">
        <f>SUMIFS('Plan rashoda za unos u SAP'!$I$3:$I$501,'Plan rashoda za unos u SAP'!$C$3:$C$501,"=31",'Plan rashoda za unos u SAP'!$M$3:$M$501,"=542")+SUMIFS('ANALITIKA EU PROJEKATA'!$G$3:$G$498,'ANALITIKA EU PROJEKATA'!$A$3:$A$498,"=31",'ANALITIKA EU PROJEKATA'!$P$3:$P$498,"=542")</f>
        <v>0</v>
      </c>
      <c r="H64" s="138">
        <f>SUMIFS('Plan rashoda za unos u SAP'!$I$3:$I$501,'Plan rashoda za unos u SAP'!$C$3:$C$501,"=41",'Plan rashoda za unos u SAP'!$M$3:$M$501,"=542")+SUMIFS('ANALITIKA EU PROJEKATA'!$G$3:$G$498,'ANALITIKA EU PROJEKATA'!$A$3:$A$498,"=41",'ANALITIKA EU PROJEKATA'!$P$3:$P$498,"=542")</f>
        <v>0</v>
      </c>
      <c r="I64" s="138">
        <f>SUMIFS('Plan rashoda za unos u SAP'!$I$3:$I$501,'Plan rashoda za unos u SAP'!$C$3:$C$501,"=43",'Plan rashoda za unos u SAP'!$M$3:$M$501,"=542")+SUMIFS('ANALITIKA EU PROJEKATA'!$G$3:$G$498,'ANALITIKA EU PROJEKATA'!$A$3:$A$498,"=43",'ANALITIKA EU PROJEKATA'!$P$3:$P$498,"=542")</f>
        <v>0</v>
      </c>
      <c r="J64" s="138">
        <f>SUMIFS('Plan rashoda za unos u SAP'!$I$3:$I$501,'Plan rashoda za unos u SAP'!$C$3:$C$501,"=51",'Plan rashoda za unos u SAP'!$M$3:$M$501,"=542")+SUMIFS('ANALITIKA EU PROJEKATA'!$G$3:$G$498,'ANALITIKA EU PROJEKATA'!$A$3:$A$498,"=51",'ANALITIKA EU PROJEKATA'!$P$3:$P$498,"=542")</f>
        <v>0</v>
      </c>
      <c r="K64" s="138">
        <f>SUMIFS('Plan rashoda za unos u SAP'!$I$3:$I$501,'Plan rashoda za unos u SAP'!$C$3:$C$501,"=52",'Plan rashoda za unos u SAP'!$M$3:$M$501,"=542")+SUMIFS('ANALITIKA EU PROJEKATA'!$G$3:$G$498,'ANALITIKA EU PROJEKATA'!$A$3:$A$498,"=52",'ANALITIKA EU PROJEKATA'!$P$3:$P$498,"=542")</f>
        <v>0</v>
      </c>
      <c r="L64" s="138">
        <f>SUMIFS('Plan rashoda za unos u SAP'!$I$3:$I$501,'Plan rashoda za unos u SAP'!$C$3:$C$501,"=552",'Plan rashoda za unos u SAP'!$M$3:$M$501,"=542")+SUMIFS('ANALITIKA EU PROJEKATA'!$G$3:$G$498,'ANALITIKA EU PROJEKATA'!$A$3:$A$498,"=552",'ANALITIKA EU PROJEKATA'!$P$3:$P$498,"=542")</f>
        <v>0</v>
      </c>
      <c r="M64" s="138">
        <f>SUMIFS('Plan rashoda za unos u SAP'!$I$3:$I$501,'Plan rashoda za unos u SAP'!$C$3:$C$501,"=559",'Plan rashoda za unos u SAP'!$M$3:$M$501,"=542")+SUMIFS('ANALITIKA EU PROJEKATA'!$G$3:$G$498,'ANALITIKA EU PROJEKATA'!$A$3:$A$498,"=559",'ANALITIKA EU PROJEKATA'!$P$3:$P$498,"=542")</f>
        <v>0</v>
      </c>
      <c r="N64" s="138">
        <f>SUMIFS('Plan rashoda za unos u SAP'!$I$3:$I$501,'Plan rashoda za unos u SAP'!$C$3:$C$501,"=561",'Plan rashoda za unos u SAP'!$M$3:$M$501,"=542")+SUMIFS('ANALITIKA EU PROJEKATA'!$G$3:$G$498,'ANALITIKA EU PROJEKATA'!$A$3:$A$498,"=561",'ANALITIKA EU PROJEKATA'!$P$3:$P$498,"=542")</f>
        <v>0</v>
      </c>
      <c r="O64" s="138">
        <f>SUMIFS('Plan rashoda za unos u SAP'!$I$3:$I$501,'Plan rashoda za unos u SAP'!$C$3:$C$501,"=563",'Plan rashoda za unos u SAP'!$M$3:$M$501,"=542")+SUMIFS('ANALITIKA EU PROJEKATA'!$G$3:$G$498,'ANALITIKA EU PROJEKATA'!$A$3:$A$498,"=563",'ANALITIKA EU PROJEKATA'!$P$3:$P$498,"=542")</f>
        <v>0</v>
      </c>
      <c r="P64" s="138">
        <f>SUMIFS('Plan rashoda za unos u SAP'!$I$3:$I$501,'Plan rashoda za unos u SAP'!$C$3:$C$501,"=573",'Plan rashoda za unos u SAP'!$M$3:$M$501,"=542")+SUMIFS('ANALITIKA EU PROJEKATA'!$G$3:$G$498,'ANALITIKA EU PROJEKATA'!$A$3:$A$498,"=573",'ANALITIKA EU PROJEKATA'!$P$3:$P$498,"=542")</f>
        <v>0</v>
      </c>
      <c r="Q64" s="138">
        <f>SUMIFS('Plan rashoda za unos u SAP'!$I$3:$I$501,'Plan rashoda za unos u SAP'!$C$3:$C$501,"=575",'Plan rashoda za unos u SAP'!$M$3:$M$501,"=542")+SUMIFS('ANALITIKA EU PROJEKATA'!$G$3:$G$498,'ANALITIKA EU PROJEKATA'!$A$3:$A$498,"=575",'ANALITIKA EU PROJEKATA'!$P$3:$P$498,"=542")</f>
        <v>0</v>
      </c>
      <c r="R64" s="138">
        <f>SUMIFS('Plan rashoda za unos u SAP'!$I$3:$I$501,'Plan rashoda za unos u SAP'!$C$3:$C$501,"=576",'Plan rashoda za unos u SAP'!$M$3:$M$501,"=542")+SUMIFS('ANALITIKA EU PROJEKATA'!$G$3:$G$498,'ANALITIKA EU PROJEKATA'!$A$3:$A$498,"=576",'ANALITIKA EU PROJEKATA'!$P$3:$P$498,"=542")</f>
        <v>0</v>
      </c>
      <c r="S64" s="138">
        <f>SUMIFS('Plan rashoda za unos u SAP'!$I$3:$I$501,'Plan rashoda za unos u SAP'!$C$3:$C$501,"=581",'Plan rashoda za unos u SAP'!$M$3:$M$501,"=542")+SUMIFS('ANALITIKA EU PROJEKATA'!$G$3:$G$498,'ANALITIKA EU PROJEKATA'!$A$3:$A$498,"=581",'ANALITIKA EU PROJEKATA'!$P$3:$P$498,"=542")</f>
        <v>0</v>
      </c>
      <c r="T64" s="138">
        <f>SUMIFS('Plan rashoda za unos u SAP'!$I$3:$I$501,'Plan rashoda za unos u SAP'!$C$3:$C$501,"=61",'Plan rashoda za unos u SAP'!$M$3:$M$501,"=542")+SUMIFS('ANALITIKA EU PROJEKATA'!$G$3:$G$498,'ANALITIKA EU PROJEKATA'!$A$3:$A$498,"=61",'ANALITIKA EU PROJEKATA'!$P$3:$P$498,"=542")</f>
        <v>0</v>
      </c>
      <c r="U64" s="138">
        <f>SUMIFS('Plan rashoda za unos u SAP'!$I$3:$I$501,'Plan rashoda za unos u SAP'!$C$3:$C$501,"=63",'Plan rashoda za unos u SAP'!$M$3:$M$501,"=542")+SUMIFS('ANALITIKA EU PROJEKATA'!$G$3:$G$498,'ANALITIKA EU PROJEKATA'!$A$3:$A$498,"=63",'ANALITIKA EU PROJEKATA'!$P$3:$P$498,"=542")</f>
        <v>0</v>
      </c>
      <c r="V64" s="138">
        <f>SUMIFS('Plan rashoda za unos u SAP'!$I$3:$I$501,'Plan rashoda za unos u SAP'!$C$3:$C$501,"=71",'Plan rashoda za unos u SAP'!$M$3:$M$501,"=542")+SUMIFS('ANALITIKA EU PROJEKATA'!$G$3:$G$498,'ANALITIKA EU PROJEKATA'!$A$3:$A$498,"=71",'ANALITIKA EU PROJEKATA'!$P$3:$P$498,"=542")</f>
        <v>0</v>
      </c>
      <c r="W64" s="138">
        <f>SUMIFS('Plan rashoda za unos u SAP'!$I$3:$I$501,'Plan rashoda za unos u SAP'!$C$3:$C$501,"=81",'Plan rashoda za unos u SAP'!$M$3:$M$501,"=542")+SUMIFS('ANALITIKA EU PROJEKATA'!$G$3:$G$498,'ANALITIKA EU PROJEKATA'!$A$3:$A$498,"=81",'ANALITIKA EU PROJEKATA'!$P$3:$P$498,"=542")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PROJEKATA'!$G$3:$G$498,'ANALITIKA EU PROJEKATA'!$A$3:$A$498,"=11",'ANALITIKA EU PROJEKATA'!$P$3:$P$498,"=543")</f>
        <v>0</v>
      </c>
      <c r="F65" s="138">
        <f>SUMIFS('Plan rashoda za unos u SAP'!$I$3:$I$501,'Plan rashoda za unos u SAP'!$C$3:$C$501,"=12",'Plan rashoda za unos u SAP'!$M$3:$M$501,"=543")+SUMIFS('ANALITIKA EU PROJEKATA'!$G$3:$G$498,'ANALITIKA EU PROJEKATA'!$A$3:$A$498,"=12",'ANALITIKA EU PROJEKATA'!$P$3:$P$498,"=543")</f>
        <v>0</v>
      </c>
      <c r="G65" s="138">
        <f>SUMIFS('Plan rashoda za unos u SAP'!$I$3:$I$501,'Plan rashoda za unos u SAP'!$C$3:$C$501,"=31",'Plan rashoda za unos u SAP'!$M$3:$M$501,"=543")+SUMIFS('ANALITIKA EU PROJEKATA'!$G$3:$G$498,'ANALITIKA EU PROJEKATA'!$A$3:$A$498,"=31",'ANALITIKA EU PROJEKATA'!$P$3:$P$498,"=543")</f>
        <v>0</v>
      </c>
      <c r="H65" s="138">
        <f>SUMIFS('Plan rashoda za unos u SAP'!$I$3:$I$501,'Plan rashoda za unos u SAP'!$C$3:$C$501,"=41",'Plan rashoda za unos u SAP'!$M$3:$M$501,"=543")+SUMIFS('ANALITIKA EU PROJEKATA'!$G$3:$G$498,'ANALITIKA EU PROJEKATA'!$A$3:$A$498,"=41",'ANALITIKA EU PROJEKATA'!$P$3:$P$498,"=543")</f>
        <v>0</v>
      </c>
      <c r="I65" s="138">
        <f>SUMIFS('Plan rashoda za unos u SAP'!$I$3:$I$501,'Plan rashoda za unos u SAP'!$C$3:$C$501,"=43",'Plan rashoda za unos u SAP'!$M$3:$M$501,"=543")+SUMIFS('ANALITIKA EU PROJEKATA'!$G$3:$G$498,'ANALITIKA EU PROJEKATA'!$A$3:$A$498,"=43",'ANALITIKA EU PROJEKATA'!$P$3:$P$498,"=543")</f>
        <v>0</v>
      </c>
      <c r="J65" s="138">
        <f>SUMIFS('Plan rashoda za unos u SAP'!$I$3:$I$501,'Plan rashoda za unos u SAP'!$C$3:$C$501,"=51",'Plan rashoda za unos u SAP'!$M$3:$M$501,"=543")+SUMIFS('ANALITIKA EU PROJEKATA'!$G$3:$G$498,'ANALITIKA EU PROJEKATA'!$A$3:$A$498,"=51",'ANALITIKA EU PROJEKATA'!$P$3:$P$498,"=543")</f>
        <v>0</v>
      </c>
      <c r="K65" s="138">
        <f>SUMIFS('Plan rashoda za unos u SAP'!$I$3:$I$501,'Plan rashoda za unos u SAP'!$C$3:$C$501,"=52",'Plan rashoda za unos u SAP'!$M$3:$M$501,"=543")+SUMIFS('ANALITIKA EU PROJEKATA'!$G$3:$G$498,'ANALITIKA EU PROJEKATA'!$A$3:$A$498,"=52",'ANALITIKA EU PROJEKATA'!$P$3:$P$498,"=543")</f>
        <v>0</v>
      </c>
      <c r="L65" s="138">
        <f>SUMIFS('Plan rashoda za unos u SAP'!$I$3:$I$501,'Plan rashoda za unos u SAP'!$C$3:$C$501,"=552",'Plan rashoda za unos u SAP'!$M$3:$M$501,"=543")+SUMIFS('ANALITIKA EU PROJEKATA'!$G$3:$G$498,'ANALITIKA EU PROJEKATA'!$A$3:$A$498,"=552",'ANALITIKA EU PROJEKATA'!$P$3:$P$498,"=543")</f>
        <v>0</v>
      </c>
      <c r="M65" s="138">
        <f>SUMIFS('Plan rashoda za unos u SAP'!$I$3:$I$501,'Plan rashoda za unos u SAP'!$C$3:$C$501,"=559",'Plan rashoda za unos u SAP'!$M$3:$M$501,"=543")+SUMIFS('ANALITIKA EU PROJEKATA'!$G$3:$G$498,'ANALITIKA EU PROJEKATA'!$A$3:$A$498,"=559",'ANALITIKA EU PROJEKATA'!$P$3:$P$498,"=543")</f>
        <v>0</v>
      </c>
      <c r="N65" s="138">
        <f>SUMIFS('Plan rashoda za unos u SAP'!$I$3:$I$501,'Plan rashoda za unos u SAP'!$C$3:$C$501,"=561",'Plan rashoda za unos u SAP'!$M$3:$M$501,"=543")+SUMIFS('ANALITIKA EU PROJEKATA'!$G$3:$G$498,'ANALITIKA EU PROJEKATA'!$A$3:$A$498,"=561",'ANALITIKA EU PROJEKATA'!$P$3:$P$498,"=543")</f>
        <v>0</v>
      </c>
      <c r="O65" s="138">
        <f>SUMIFS('Plan rashoda za unos u SAP'!$I$3:$I$501,'Plan rashoda za unos u SAP'!$C$3:$C$501,"=563",'Plan rashoda za unos u SAP'!$M$3:$M$501,"=543")+SUMIFS('ANALITIKA EU PROJEKATA'!$G$3:$G$498,'ANALITIKA EU PROJEKATA'!$A$3:$A$498,"=563",'ANALITIKA EU PROJEKATA'!$P$3:$P$498,"=543")</f>
        <v>0</v>
      </c>
      <c r="P65" s="138">
        <f>SUMIFS('Plan rashoda za unos u SAP'!$I$3:$I$501,'Plan rashoda za unos u SAP'!$C$3:$C$501,"=573",'Plan rashoda za unos u SAP'!$M$3:$M$501,"=543")+SUMIFS('ANALITIKA EU PROJEKATA'!$G$3:$G$498,'ANALITIKA EU PROJEKATA'!$A$3:$A$498,"=573",'ANALITIKA EU PROJEKATA'!$P$3:$P$498,"=543")</f>
        <v>0</v>
      </c>
      <c r="Q65" s="138">
        <f>SUMIFS('Plan rashoda za unos u SAP'!$I$3:$I$501,'Plan rashoda za unos u SAP'!$C$3:$C$501,"=575",'Plan rashoda za unos u SAP'!$M$3:$M$501,"=543")+SUMIFS('ANALITIKA EU PROJEKATA'!$G$3:$G$498,'ANALITIKA EU PROJEKATA'!$A$3:$A$498,"=575",'ANALITIKA EU PROJEKATA'!$P$3:$P$498,"=543")</f>
        <v>0</v>
      </c>
      <c r="R65" s="138">
        <f>SUMIFS('Plan rashoda za unos u SAP'!$I$3:$I$501,'Plan rashoda za unos u SAP'!$C$3:$C$501,"=576",'Plan rashoda za unos u SAP'!$M$3:$M$501,"=543")+SUMIFS('ANALITIKA EU PROJEKATA'!$G$3:$G$498,'ANALITIKA EU PROJEKATA'!$A$3:$A$498,"=576",'ANALITIKA EU PROJEKATA'!$P$3:$P$498,"=543")</f>
        <v>0</v>
      </c>
      <c r="S65" s="138">
        <f>SUMIFS('Plan rashoda za unos u SAP'!$I$3:$I$501,'Plan rashoda za unos u SAP'!$C$3:$C$501,"=581",'Plan rashoda za unos u SAP'!$M$3:$M$501,"=543")+SUMIFS('ANALITIKA EU PROJEKATA'!$G$3:$G$498,'ANALITIKA EU PROJEKATA'!$A$3:$A$498,"=581",'ANALITIKA EU PROJEKATA'!$P$3:$P$498,"=543")</f>
        <v>0</v>
      </c>
      <c r="T65" s="138">
        <f>SUMIFS('Plan rashoda za unos u SAP'!$I$3:$I$501,'Plan rashoda za unos u SAP'!$C$3:$C$501,"=61",'Plan rashoda za unos u SAP'!$M$3:$M$501,"=543")+SUMIFS('ANALITIKA EU PROJEKATA'!$G$3:$G$498,'ANALITIKA EU PROJEKATA'!$A$3:$A$498,"=61",'ANALITIKA EU PROJEKATA'!$P$3:$P$498,"=543")</f>
        <v>0</v>
      </c>
      <c r="U65" s="138">
        <f>SUMIFS('Plan rashoda za unos u SAP'!$I$3:$I$501,'Plan rashoda za unos u SAP'!$C$3:$C$501,"=63",'Plan rashoda za unos u SAP'!$M$3:$M$501,"=543")+SUMIFS('ANALITIKA EU PROJEKATA'!$G$3:$G$498,'ANALITIKA EU PROJEKATA'!$A$3:$A$498,"=63",'ANALITIKA EU PROJEKATA'!$P$3:$P$498,"=543")</f>
        <v>0</v>
      </c>
      <c r="V65" s="138">
        <f>SUMIFS('Plan rashoda za unos u SAP'!$I$3:$I$501,'Plan rashoda za unos u SAP'!$C$3:$C$501,"=71",'Plan rashoda za unos u SAP'!$M$3:$M$501,"=543")+SUMIFS('ANALITIKA EU PROJEKATA'!$G$3:$G$498,'ANALITIKA EU PROJEKATA'!$A$3:$A$498,"=71",'ANALITIKA EU PROJEKATA'!$P$3:$P$498,"=543")</f>
        <v>0</v>
      </c>
      <c r="W65" s="138">
        <f>SUMIFS('Plan rashoda za unos u SAP'!$I$3:$I$501,'Plan rashoda za unos u SAP'!$C$3:$C$501,"=81",'Plan rashoda za unos u SAP'!$M$3:$M$501,"=543")+SUMIFS('ANALITIKA EU PROJEKATA'!$G$3:$G$498,'ANALITIKA EU PROJEKATA'!$A$3:$A$498,"=81",'ANALITIKA EU PROJEKATA'!$P$3:$P$498,"=543")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PROJEKATA'!$G$3:$G$498,'ANALITIKA EU PROJEKATA'!$A$3:$A$498,"=11",'ANALITIKA EU PROJEKATA'!$P$3:$P$498,"=544")</f>
        <v>0</v>
      </c>
      <c r="F66" s="138">
        <f>SUMIFS('Plan rashoda za unos u SAP'!$I$3:$I$501,'Plan rashoda za unos u SAP'!$C$3:$C$501,"=12",'Plan rashoda za unos u SAP'!$M$3:$M$501,"=544")+SUMIFS('ANALITIKA EU PROJEKATA'!$G$3:$G$498,'ANALITIKA EU PROJEKATA'!$A$3:$A$498,"=12",'ANALITIKA EU PROJEKATA'!$P$3:$P$498,"=544")</f>
        <v>0</v>
      </c>
      <c r="G66" s="138">
        <f>SUMIFS('Plan rashoda za unos u SAP'!$I$3:$I$501,'Plan rashoda za unos u SAP'!$C$3:$C$501,"=31",'Plan rashoda za unos u SAP'!$M$3:$M$501,"=544")+SUMIFS('ANALITIKA EU PROJEKATA'!$G$3:$G$498,'ANALITIKA EU PROJEKATA'!$A$3:$A$498,"=31",'ANALITIKA EU PROJEKATA'!$P$3:$P$498,"=544")</f>
        <v>0</v>
      </c>
      <c r="H66" s="138">
        <f>SUMIFS('Plan rashoda za unos u SAP'!$I$3:$I$501,'Plan rashoda za unos u SAP'!$C$3:$C$501,"=41",'Plan rashoda za unos u SAP'!$M$3:$M$501,"=544")+SUMIFS('ANALITIKA EU PROJEKATA'!$G$3:$G$498,'ANALITIKA EU PROJEKATA'!$A$3:$A$498,"=41",'ANALITIKA EU PROJEKATA'!$P$3:$P$498,"=544")</f>
        <v>0</v>
      </c>
      <c r="I66" s="138">
        <f>SUMIFS('Plan rashoda za unos u SAP'!$I$3:$I$501,'Plan rashoda za unos u SAP'!$C$3:$C$501,"=43",'Plan rashoda za unos u SAP'!$M$3:$M$501,"=544")+SUMIFS('ANALITIKA EU PROJEKATA'!$G$3:$G$498,'ANALITIKA EU PROJEKATA'!$A$3:$A$498,"=43",'ANALITIKA EU PROJEKATA'!$P$3:$P$498,"=544")</f>
        <v>0</v>
      </c>
      <c r="J66" s="138">
        <f>SUMIFS('Plan rashoda za unos u SAP'!$I$3:$I$501,'Plan rashoda za unos u SAP'!$C$3:$C$501,"=51",'Plan rashoda za unos u SAP'!$M$3:$M$501,"=544")+SUMIFS('ANALITIKA EU PROJEKATA'!$G$3:$G$498,'ANALITIKA EU PROJEKATA'!$A$3:$A$498,"=51",'ANALITIKA EU PROJEKATA'!$P$3:$P$498,"=544")</f>
        <v>0</v>
      </c>
      <c r="K66" s="138">
        <f>SUMIFS('Plan rashoda za unos u SAP'!$I$3:$I$501,'Plan rashoda za unos u SAP'!$C$3:$C$501,"=52",'Plan rashoda za unos u SAP'!$M$3:$M$501,"=544")+SUMIFS('ANALITIKA EU PROJEKATA'!$G$3:$G$498,'ANALITIKA EU PROJEKATA'!$A$3:$A$498,"=52",'ANALITIKA EU PROJEKATA'!$P$3:$P$498,"=544")</f>
        <v>0</v>
      </c>
      <c r="L66" s="138">
        <f>SUMIFS('Plan rashoda za unos u SAP'!$I$3:$I$501,'Plan rashoda za unos u SAP'!$C$3:$C$501,"=552",'Plan rashoda za unos u SAP'!$M$3:$M$501,"=544")+SUMIFS('ANALITIKA EU PROJEKATA'!$G$3:$G$498,'ANALITIKA EU PROJEKATA'!$A$3:$A$498,"=552",'ANALITIKA EU PROJEKATA'!$P$3:$P$498,"=544")</f>
        <v>0</v>
      </c>
      <c r="M66" s="138">
        <f>SUMIFS('Plan rashoda za unos u SAP'!$I$3:$I$501,'Plan rashoda za unos u SAP'!$C$3:$C$501,"=559",'Plan rashoda za unos u SAP'!$M$3:$M$501,"=544")+SUMIFS('ANALITIKA EU PROJEKATA'!$G$3:$G$498,'ANALITIKA EU PROJEKATA'!$A$3:$A$498,"=559",'ANALITIKA EU PROJEKATA'!$P$3:$P$498,"=544")</f>
        <v>0</v>
      </c>
      <c r="N66" s="138">
        <f>SUMIFS('Plan rashoda za unos u SAP'!$I$3:$I$501,'Plan rashoda za unos u SAP'!$C$3:$C$501,"=561",'Plan rashoda za unos u SAP'!$M$3:$M$501,"=544")+SUMIFS('ANALITIKA EU PROJEKATA'!$G$3:$G$498,'ANALITIKA EU PROJEKATA'!$A$3:$A$498,"=561",'ANALITIKA EU PROJEKATA'!$P$3:$P$498,"=544")</f>
        <v>0</v>
      </c>
      <c r="O66" s="138">
        <f>SUMIFS('Plan rashoda za unos u SAP'!$I$3:$I$501,'Plan rashoda za unos u SAP'!$C$3:$C$501,"=563",'Plan rashoda za unos u SAP'!$M$3:$M$501,"=544")+SUMIFS('ANALITIKA EU PROJEKATA'!$G$3:$G$498,'ANALITIKA EU PROJEKATA'!$A$3:$A$498,"=563",'ANALITIKA EU PROJEKATA'!$P$3:$P$498,"=544")</f>
        <v>0</v>
      </c>
      <c r="P66" s="138">
        <f>SUMIFS('Plan rashoda za unos u SAP'!$I$3:$I$501,'Plan rashoda za unos u SAP'!$C$3:$C$501,"=573",'Plan rashoda za unos u SAP'!$M$3:$M$501,"=544")+SUMIFS('ANALITIKA EU PROJEKATA'!$G$3:$G$498,'ANALITIKA EU PROJEKATA'!$A$3:$A$498,"=573",'ANALITIKA EU PROJEKATA'!$P$3:$P$498,"=544")</f>
        <v>0</v>
      </c>
      <c r="Q66" s="138">
        <f>SUMIFS('Plan rashoda za unos u SAP'!$I$3:$I$501,'Plan rashoda za unos u SAP'!$C$3:$C$501,"=575",'Plan rashoda za unos u SAP'!$M$3:$M$501,"=544")+SUMIFS('ANALITIKA EU PROJEKATA'!$G$3:$G$498,'ANALITIKA EU PROJEKATA'!$A$3:$A$498,"=575",'ANALITIKA EU PROJEKATA'!$P$3:$P$498,"=544")</f>
        <v>0</v>
      </c>
      <c r="R66" s="138">
        <f>SUMIFS('Plan rashoda za unos u SAP'!$I$3:$I$501,'Plan rashoda za unos u SAP'!$C$3:$C$501,"=576",'Plan rashoda za unos u SAP'!$M$3:$M$501,"=544")+SUMIFS('ANALITIKA EU PROJEKATA'!$G$3:$G$498,'ANALITIKA EU PROJEKATA'!$A$3:$A$498,"=576",'ANALITIKA EU PROJEKATA'!$P$3:$P$498,"=544")</f>
        <v>0</v>
      </c>
      <c r="S66" s="138">
        <f>SUMIFS('Plan rashoda za unos u SAP'!$I$3:$I$501,'Plan rashoda za unos u SAP'!$C$3:$C$501,"=581",'Plan rashoda za unos u SAP'!$M$3:$M$501,"=544")+SUMIFS('ANALITIKA EU PROJEKATA'!$G$3:$G$498,'ANALITIKA EU PROJEKATA'!$A$3:$A$498,"=581",'ANALITIKA EU PROJEKATA'!$P$3:$P$498,"=544")</f>
        <v>0</v>
      </c>
      <c r="T66" s="138">
        <f>SUMIFS('Plan rashoda za unos u SAP'!$I$3:$I$501,'Plan rashoda za unos u SAP'!$C$3:$C$501,"=61",'Plan rashoda za unos u SAP'!$M$3:$M$501,"=544")+SUMIFS('ANALITIKA EU PROJEKATA'!$G$3:$G$498,'ANALITIKA EU PROJEKATA'!$A$3:$A$498,"=61",'ANALITIKA EU PROJEKATA'!$P$3:$P$498,"=544")</f>
        <v>0</v>
      </c>
      <c r="U66" s="138">
        <f>SUMIFS('Plan rashoda za unos u SAP'!$I$3:$I$501,'Plan rashoda za unos u SAP'!$C$3:$C$501,"=63",'Plan rashoda za unos u SAP'!$M$3:$M$501,"=544")+SUMIFS('ANALITIKA EU PROJEKATA'!$G$3:$G$498,'ANALITIKA EU PROJEKATA'!$A$3:$A$498,"=63",'ANALITIKA EU PROJEKATA'!$P$3:$P$498,"=544")</f>
        <v>0</v>
      </c>
      <c r="V66" s="138">
        <f>SUMIFS('Plan rashoda za unos u SAP'!$I$3:$I$501,'Plan rashoda za unos u SAP'!$C$3:$C$501,"=71",'Plan rashoda za unos u SAP'!$M$3:$M$501,"=544")+SUMIFS('ANALITIKA EU PROJEKATA'!$G$3:$G$498,'ANALITIKA EU PROJEKATA'!$A$3:$A$498,"=71",'ANALITIKA EU PROJEKATA'!$P$3:$P$498,"=544")</f>
        <v>0</v>
      </c>
      <c r="W66" s="138">
        <f>SUMIFS('Plan rashoda za unos u SAP'!$I$3:$I$501,'Plan rashoda za unos u SAP'!$C$3:$C$501,"=81",'Plan rashoda za unos u SAP'!$M$3:$M$501,"=544")+SUMIFS('ANALITIKA EU PROJEKATA'!$G$3:$G$498,'ANALITIKA EU PROJEKATA'!$A$3:$A$498,"=81",'ANALITIKA EU PROJEKATA'!$P$3:$P$498,"=544")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PROJEKATA'!$G$3:$G$498,'ANALITIKA EU PROJEKATA'!$A$3:$A$498,"=11",'ANALITIKA EU PROJEKATA'!$P$3:$P$498,"=545")</f>
        <v>0</v>
      </c>
      <c r="F67" s="138">
        <f>SUMIFS('Plan rashoda za unos u SAP'!$I$3:$I$501,'Plan rashoda za unos u SAP'!$C$3:$C$501,"=12",'Plan rashoda za unos u SAP'!$M$3:$M$501,"=545")+SUMIFS('ANALITIKA EU PROJEKATA'!$G$3:$G$498,'ANALITIKA EU PROJEKATA'!$A$3:$A$498,"=12",'ANALITIKA EU PROJEKATA'!$P$3:$P$498,"=545")</f>
        <v>0</v>
      </c>
      <c r="G67" s="138">
        <f>SUMIFS('Plan rashoda za unos u SAP'!$I$3:$I$501,'Plan rashoda za unos u SAP'!$C$3:$C$501,"=31",'Plan rashoda za unos u SAP'!$M$3:$M$501,"=545")+SUMIFS('ANALITIKA EU PROJEKATA'!$G$3:$G$498,'ANALITIKA EU PROJEKATA'!$A$3:$A$498,"=31",'ANALITIKA EU PROJEKATA'!$P$3:$P$498,"=545")</f>
        <v>0</v>
      </c>
      <c r="H67" s="138">
        <f>SUMIFS('Plan rashoda za unos u SAP'!$I$3:$I$501,'Plan rashoda za unos u SAP'!$C$3:$C$501,"=41",'Plan rashoda za unos u SAP'!$M$3:$M$501,"=545")+SUMIFS('ANALITIKA EU PROJEKATA'!$G$3:$G$498,'ANALITIKA EU PROJEKATA'!$A$3:$A$498,"=41",'ANALITIKA EU PROJEKATA'!$P$3:$P$498,"=545")</f>
        <v>0</v>
      </c>
      <c r="I67" s="138">
        <f>SUMIFS('Plan rashoda za unos u SAP'!$I$3:$I$501,'Plan rashoda za unos u SAP'!$C$3:$C$501,"=43",'Plan rashoda za unos u SAP'!$M$3:$M$501,"=545")+SUMIFS('ANALITIKA EU PROJEKATA'!$G$3:$G$498,'ANALITIKA EU PROJEKATA'!$A$3:$A$498,"=43",'ANALITIKA EU PROJEKATA'!$P$3:$P$498,"=545")</f>
        <v>0</v>
      </c>
      <c r="J67" s="138">
        <f>SUMIFS('Plan rashoda za unos u SAP'!$I$3:$I$501,'Plan rashoda za unos u SAP'!$C$3:$C$501,"=51",'Plan rashoda za unos u SAP'!$M$3:$M$501,"=545")+SUMIFS('ANALITIKA EU PROJEKATA'!$G$3:$G$498,'ANALITIKA EU PROJEKATA'!$A$3:$A$498,"=51",'ANALITIKA EU PROJEKATA'!$P$3:$P$498,"=545")</f>
        <v>0</v>
      </c>
      <c r="K67" s="138">
        <f>SUMIFS('Plan rashoda za unos u SAP'!$I$3:$I$501,'Plan rashoda za unos u SAP'!$C$3:$C$501,"=52",'Plan rashoda za unos u SAP'!$M$3:$M$501,"=545")+SUMIFS('ANALITIKA EU PROJEKATA'!$G$3:$G$498,'ANALITIKA EU PROJEKATA'!$A$3:$A$498,"=52",'ANALITIKA EU PROJEKATA'!$P$3:$P$498,"=545")</f>
        <v>0</v>
      </c>
      <c r="L67" s="138">
        <f>SUMIFS('Plan rashoda za unos u SAP'!$I$3:$I$501,'Plan rashoda za unos u SAP'!$C$3:$C$501,"=552",'Plan rashoda za unos u SAP'!$M$3:$M$501,"=545")+SUMIFS('ANALITIKA EU PROJEKATA'!$G$3:$G$498,'ANALITIKA EU PROJEKATA'!$A$3:$A$498,"=552",'ANALITIKA EU PROJEKATA'!$P$3:$P$498,"=545")</f>
        <v>0</v>
      </c>
      <c r="M67" s="138">
        <f>SUMIFS('Plan rashoda za unos u SAP'!$I$3:$I$501,'Plan rashoda za unos u SAP'!$C$3:$C$501,"=559",'Plan rashoda za unos u SAP'!$M$3:$M$501,"=545")+SUMIFS('ANALITIKA EU PROJEKATA'!$G$3:$G$498,'ANALITIKA EU PROJEKATA'!$A$3:$A$498,"=559",'ANALITIKA EU PROJEKATA'!$P$3:$P$498,"=545")</f>
        <v>0</v>
      </c>
      <c r="N67" s="138">
        <f>SUMIFS('Plan rashoda za unos u SAP'!$I$3:$I$501,'Plan rashoda za unos u SAP'!$C$3:$C$501,"=561",'Plan rashoda za unos u SAP'!$M$3:$M$501,"=545")+SUMIFS('ANALITIKA EU PROJEKATA'!$G$3:$G$498,'ANALITIKA EU PROJEKATA'!$A$3:$A$498,"=561",'ANALITIKA EU PROJEKATA'!$P$3:$P$498,"=545")</f>
        <v>0</v>
      </c>
      <c r="O67" s="138">
        <f>SUMIFS('Plan rashoda za unos u SAP'!$I$3:$I$501,'Plan rashoda za unos u SAP'!$C$3:$C$501,"=563",'Plan rashoda za unos u SAP'!$M$3:$M$501,"=545")+SUMIFS('ANALITIKA EU PROJEKATA'!$G$3:$G$498,'ANALITIKA EU PROJEKATA'!$A$3:$A$498,"=563",'ANALITIKA EU PROJEKATA'!$P$3:$P$498,"=545")</f>
        <v>0</v>
      </c>
      <c r="P67" s="138">
        <f>SUMIFS('Plan rashoda za unos u SAP'!$I$3:$I$501,'Plan rashoda za unos u SAP'!$C$3:$C$501,"=573",'Plan rashoda za unos u SAP'!$M$3:$M$501,"=545")+SUMIFS('ANALITIKA EU PROJEKATA'!$G$3:$G$498,'ANALITIKA EU PROJEKATA'!$A$3:$A$498,"=573",'ANALITIKA EU PROJEKATA'!$P$3:$P$498,"=545")</f>
        <v>0</v>
      </c>
      <c r="Q67" s="138">
        <f>SUMIFS('Plan rashoda za unos u SAP'!$I$3:$I$501,'Plan rashoda za unos u SAP'!$C$3:$C$501,"=575",'Plan rashoda za unos u SAP'!$M$3:$M$501,"=545")+SUMIFS('ANALITIKA EU PROJEKATA'!$G$3:$G$498,'ANALITIKA EU PROJEKATA'!$A$3:$A$498,"=575",'ANALITIKA EU PROJEKATA'!$P$3:$P$498,"=545")</f>
        <v>0</v>
      </c>
      <c r="R67" s="138">
        <f>SUMIFS('Plan rashoda za unos u SAP'!$I$3:$I$501,'Plan rashoda za unos u SAP'!$C$3:$C$501,"=576",'Plan rashoda za unos u SAP'!$M$3:$M$501,"=545")+SUMIFS('ANALITIKA EU PROJEKATA'!$G$3:$G$498,'ANALITIKA EU PROJEKATA'!$A$3:$A$498,"=576",'ANALITIKA EU PROJEKATA'!$P$3:$P$498,"=545")</f>
        <v>0</v>
      </c>
      <c r="S67" s="138">
        <f>SUMIFS('Plan rashoda za unos u SAP'!$I$3:$I$501,'Plan rashoda za unos u SAP'!$C$3:$C$501,"=581",'Plan rashoda za unos u SAP'!$M$3:$M$501,"=545")+SUMIFS('ANALITIKA EU PROJEKATA'!$G$3:$G$498,'ANALITIKA EU PROJEKATA'!$A$3:$A$498,"=581",'ANALITIKA EU PROJEKATA'!$P$3:$P$498,"=545")</f>
        <v>0</v>
      </c>
      <c r="T67" s="138">
        <f>SUMIFS('Plan rashoda za unos u SAP'!$I$3:$I$501,'Plan rashoda za unos u SAP'!$C$3:$C$501,"=61",'Plan rashoda za unos u SAP'!$M$3:$M$501,"=545")+SUMIFS('ANALITIKA EU PROJEKATA'!$G$3:$G$498,'ANALITIKA EU PROJEKATA'!$A$3:$A$498,"=61",'ANALITIKA EU PROJEKATA'!$P$3:$P$498,"=545")</f>
        <v>0</v>
      </c>
      <c r="U67" s="138">
        <f>SUMIFS('Plan rashoda za unos u SAP'!$I$3:$I$501,'Plan rashoda za unos u SAP'!$C$3:$C$501,"=63",'Plan rashoda za unos u SAP'!$M$3:$M$501,"=545")+SUMIFS('ANALITIKA EU PROJEKATA'!$G$3:$G$498,'ANALITIKA EU PROJEKATA'!$A$3:$A$498,"=63",'ANALITIKA EU PROJEKATA'!$P$3:$P$498,"=545")</f>
        <v>0</v>
      </c>
      <c r="V67" s="138">
        <f>SUMIFS('Plan rashoda za unos u SAP'!$I$3:$I$501,'Plan rashoda za unos u SAP'!$C$3:$C$501,"=71",'Plan rashoda za unos u SAP'!$M$3:$M$501,"=545")+SUMIFS('ANALITIKA EU PROJEKATA'!$G$3:$G$498,'ANALITIKA EU PROJEKATA'!$A$3:$A$498,"=71",'ANALITIKA EU PROJEKATA'!$P$3:$P$498,"=545")</f>
        <v>0</v>
      </c>
      <c r="W67" s="138">
        <f>SUMIFS('Plan rashoda za unos u SAP'!$I$3:$I$501,'Plan rashoda za unos u SAP'!$C$3:$C$501,"=81",'Plan rashoda za unos u SAP'!$M$3:$M$501,"=545")+SUMIFS('ANALITIKA EU PROJEKATA'!$G$3:$G$498,'ANALITIKA EU PROJEKATA'!$A$3:$A$498,"=81",'ANALITIKA EU PROJEKATA'!$P$3:$P$498,"=545")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PROJEKATA'!$G$3:$G$498,'ANALITIKA EU PROJEKATA'!$A$3:$A$498,"=11",'ANALITIKA EU PROJEKATA'!$P$3:$P$498,"=547")</f>
        <v>0</v>
      </c>
      <c r="F68" s="138">
        <f>SUMIFS('Plan rashoda za unos u SAP'!$I$3:$I$501,'Plan rashoda za unos u SAP'!$C$3:$C$501,"=12",'Plan rashoda za unos u SAP'!$M$3:$M$501,"=547")+SUMIFS('ANALITIKA EU PROJEKATA'!$G$3:$G$498,'ANALITIKA EU PROJEKATA'!$A$3:$A$498,"=12",'ANALITIKA EU PROJEKATA'!$P$3:$P$498,"=547")</f>
        <v>0</v>
      </c>
      <c r="G68" s="138">
        <f>SUMIFS('Plan rashoda za unos u SAP'!$I$3:$I$501,'Plan rashoda za unos u SAP'!$C$3:$C$501,"=31",'Plan rashoda za unos u SAP'!$M$3:$M$501,"=547")+SUMIFS('ANALITIKA EU PROJEKATA'!$G$3:$G$498,'ANALITIKA EU PROJEKATA'!$A$3:$A$498,"=31",'ANALITIKA EU PROJEKATA'!$P$3:$P$498,"=547")</f>
        <v>0</v>
      </c>
      <c r="H68" s="138">
        <f>SUMIFS('Plan rashoda za unos u SAP'!$I$3:$I$501,'Plan rashoda za unos u SAP'!$C$3:$C$501,"=41",'Plan rashoda za unos u SAP'!$M$3:$M$501,"=547")+SUMIFS('ANALITIKA EU PROJEKATA'!$G$3:$G$498,'ANALITIKA EU PROJEKATA'!$A$3:$A$498,"=41",'ANALITIKA EU PROJEKATA'!$P$3:$P$498,"=547")</f>
        <v>0</v>
      </c>
      <c r="I68" s="138">
        <f>SUMIFS('Plan rashoda za unos u SAP'!$I$3:$I$501,'Plan rashoda za unos u SAP'!$C$3:$C$501,"=43",'Plan rashoda za unos u SAP'!$M$3:$M$501,"=547")+SUMIFS('ANALITIKA EU PROJEKATA'!$G$3:$G$498,'ANALITIKA EU PROJEKATA'!$A$3:$A$498,"=43",'ANALITIKA EU PROJEKATA'!$P$3:$P$498,"=547")</f>
        <v>0</v>
      </c>
      <c r="J68" s="138">
        <f>SUMIFS('Plan rashoda za unos u SAP'!$I$3:$I$501,'Plan rashoda za unos u SAP'!$C$3:$C$501,"=51",'Plan rashoda za unos u SAP'!$M$3:$M$501,"=547")+SUMIFS('ANALITIKA EU PROJEKATA'!$G$3:$G$498,'ANALITIKA EU PROJEKATA'!$A$3:$A$498,"=51",'ANALITIKA EU PROJEKATA'!$P$3:$P$498,"=547")</f>
        <v>0</v>
      </c>
      <c r="K68" s="138">
        <f>SUMIFS('Plan rashoda za unos u SAP'!$I$3:$I$501,'Plan rashoda za unos u SAP'!$C$3:$C$501,"=52",'Plan rashoda za unos u SAP'!$M$3:$M$501,"=547")+SUMIFS('ANALITIKA EU PROJEKATA'!$G$3:$G$498,'ANALITIKA EU PROJEKATA'!$A$3:$A$498,"=52",'ANALITIKA EU PROJEKATA'!$P$3:$P$498,"=547")</f>
        <v>0</v>
      </c>
      <c r="L68" s="138">
        <f>SUMIFS('Plan rashoda za unos u SAP'!$I$3:$I$501,'Plan rashoda za unos u SAP'!$C$3:$C$501,"=552",'Plan rashoda za unos u SAP'!$M$3:$M$501,"=547")+SUMIFS('ANALITIKA EU PROJEKATA'!$G$3:$G$498,'ANALITIKA EU PROJEKATA'!$A$3:$A$498,"=552",'ANALITIKA EU PROJEKATA'!$P$3:$P$498,"=547")</f>
        <v>0</v>
      </c>
      <c r="M68" s="138">
        <f>SUMIFS('Plan rashoda za unos u SAP'!$I$3:$I$501,'Plan rashoda za unos u SAP'!$C$3:$C$501,"=559",'Plan rashoda za unos u SAP'!$M$3:$M$501,"=547")+SUMIFS('ANALITIKA EU PROJEKATA'!$G$3:$G$498,'ANALITIKA EU PROJEKATA'!$A$3:$A$498,"=559",'ANALITIKA EU PROJEKATA'!$P$3:$P$498,"=547")</f>
        <v>0</v>
      </c>
      <c r="N68" s="138">
        <f>SUMIFS('Plan rashoda za unos u SAP'!$I$3:$I$501,'Plan rashoda za unos u SAP'!$C$3:$C$501,"=561",'Plan rashoda za unos u SAP'!$M$3:$M$501,"=547")+SUMIFS('ANALITIKA EU PROJEKATA'!$G$3:$G$498,'ANALITIKA EU PROJEKATA'!$A$3:$A$498,"=561",'ANALITIKA EU PROJEKATA'!$P$3:$P$498,"=547")</f>
        <v>0</v>
      </c>
      <c r="O68" s="138">
        <f>SUMIFS('Plan rashoda za unos u SAP'!$I$3:$I$501,'Plan rashoda za unos u SAP'!$C$3:$C$501,"=563",'Plan rashoda za unos u SAP'!$M$3:$M$501,"=547")+SUMIFS('ANALITIKA EU PROJEKATA'!$G$3:$G$498,'ANALITIKA EU PROJEKATA'!$A$3:$A$498,"=563",'ANALITIKA EU PROJEKATA'!$P$3:$P$498,"=547")</f>
        <v>0</v>
      </c>
      <c r="P68" s="138">
        <f>SUMIFS('Plan rashoda za unos u SAP'!$I$3:$I$501,'Plan rashoda za unos u SAP'!$C$3:$C$501,"=573",'Plan rashoda za unos u SAP'!$M$3:$M$501,"=547")+SUMIFS('ANALITIKA EU PROJEKATA'!$G$3:$G$498,'ANALITIKA EU PROJEKATA'!$A$3:$A$498,"=573",'ANALITIKA EU PROJEKATA'!$P$3:$P$498,"=547")</f>
        <v>0</v>
      </c>
      <c r="Q68" s="138">
        <f>SUMIFS('Plan rashoda za unos u SAP'!$I$3:$I$501,'Plan rashoda za unos u SAP'!$C$3:$C$501,"=575",'Plan rashoda za unos u SAP'!$M$3:$M$501,"=547")+SUMIFS('ANALITIKA EU PROJEKATA'!$G$3:$G$498,'ANALITIKA EU PROJEKATA'!$A$3:$A$498,"=575",'ANALITIKA EU PROJEKATA'!$P$3:$P$498,"=547")</f>
        <v>0</v>
      </c>
      <c r="R68" s="138">
        <f>SUMIFS('Plan rashoda za unos u SAP'!$I$3:$I$501,'Plan rashoda za unos u SAP'!$C$3:$C$501,"=576",'Plan rashoda za unos u SAP'!$M$3:$M$501,"=547")+SUMIFS('ANALITIKA EU PROJEKATA'!$G$3:$G$498,'ANALITIKA EU PROJEKATA'!$A$3:$A$498,"=576",'ANALITIKA EU PROJEKATA'!$P$3:$P$498,"=547")</f>
        <v>0</v>
      </c>
      <c r="S68" s="138">
        <f>SUMIFS('Plan rashoda za unos u SAP'!$I$3:$I$501,'Plan rashoda za unos u SAP'!$C$3:$C$501,"=581",'Plan rashoda za unos u SAP'!$M$3:$M$501,"=547")+SUMIFS('ANALITIKA EU PROJEKATA'!$G$3:$G$498,'ANALITIKA EU PROJEKATA'!$A$3:$A$498,"=581",'ANALITIKA EU PROJEKATA'!$P$3:$P$498,"=547")</f>
        <v>0</v>
      </c>
      <c r="T68" s="138">
        <f>SUMIFS('Plan rashoda za unos u SAP'!$I$3:$I$501,'Plan rashoda za unos u SAP'!$C$3:$C$501,"=61",'Plan rashoda za unos u SAP'!$M$3:$M$501,"=547")+SUMIFS('ANALITIKA EU PROJEKATA'!$G$3:$G$498,'ANALITIKA EU PROJEKATA'!$A$3:$A$498,"=61",'ANALITIKA EU PROJEKATA'!$P$3:$P$498,"=547")</f>
        <v>0</v>
      </c>
      <c r="U68" s="138">
        <f>SUMIFS('Plan rashoda za unos u SAP'!$I$3:$I$501,'Plan rashoda za unos u SAP'!$C$3:$C$501,"=63",'Plan rashoda za unos u SAP'!$M$3:$M$501,"=547")+SUMIFS('ANALITIKA EU PROJEKATA'!$G$3:$G$498,'ANALITIKA EU PROJEKATA'!$A$3:$A$498,"=63",'ANALITIKA EU PROJEKATA'!$P$3:$P$498,"=547")</f>
        <v>0</v>
      </c>
      <c r="V68" s="138">
        <f>SUMIFS('Plan rashoda za unos u SAP'!$I$3:$I$501,'Plan rashoda za unos u SAP'!$C$3:$C$501,"=71",'Plan rashoda za unos u SAP'!$M$3:$M$501,"=547")+SUMIFS('ANALITIKA EU PROJEKATA'!$G$3:$G$498,'ANALITIKA EU PROJEKATA'!$A$3:$A$498,"=71",'ANALITIKA EU PROJEKATA'!$P$3:$P$498,"=547")</f>
        <v>0</v>
      </c>
      <c r="W68" s="138">
        <f>SUMIFS('Plan rashoda za unos u SAP'!$I$3:$I$501,'Plan rashoda za unos u SAP'!$C$3:$C$501,"=81",'Plan rashoda za unos u SAP'!$M$3:$M$501,"=547")+SUMIFS('ANALITIKA EU PROJEKATA'!$G$3:$G$498,'ANALITIKA EU PROJEKATA'!$A$3:$A$498,"=81",'ANALITIKA EU PROJEKATA'!$P$3:$P$498,"=547")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36616266</v>
      </c>
      <c r="E71" s="121">
        <f t="shared" ref="E71:W71" si="23">+E72+E80+E86</f>
        <v>24984137</v>
      </c>
      <c r="F71" s="121">
        <f t="shared" si="23"/>
        <v>0</v>
      </c>
      <c r="G71" s="121">
        <f t="shared" si="23"/>
        <v>3998000</v>
      </c>
      <c r="H71" s="121">
        <f>+H72+H80+H86</f>
        <v>0</v>
      </c>
      <c r="I71" s="121">
        <f t="shared" si="23"/>
        <v>4137750</v>
      </c>
      <c r="J71" s="121">
        <f t="shared" si="23"/>
        <v>2613920</v>
      </c>
      <c r="K71" s="121">
        <f t="shared" si="23"/>
        <v>743280</v>
      </c>
      <c r="L71" s="121">
        <f>+L72+L80+L86</f>
        <v>0</v>
      </c>
      <c r="M71" s="121">
        <f t="shared" si="23"/>
        <v>0</v>
      </c>
      <c r="N71" s="121">
        <f t="shared" si="23"/>
        <v>10753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128426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36354466</v>
      </c>
      <c r="E72" s="130">
        <f t="shared" ref="E72:W72" si="24">SUM(E73:E79)</f>
        <v>24789137</v>
      </c>
      <c r="F72" s="130">
        <f t="shared" si="24"/>
        <v>0</v>
      </c>
      <c r="G72" s="130">
        <f t="shared" si="24"/>
        <v>3958700</v>
      </c>
      <c r="H72" s="130">
        <f>SUM(H73:H79)</f>
        <v>0</v>
      </c>
      <c r="I72" s="130">
        <f t="shared" si="24"/>
        <v>4125250</v>
      </c>
      <c r="J72" s="130">
        <f t="shared" si="24"/>
        <v>2613920</v>
      </c>
      <c r="K72" s="130">
        <f t="shared" si="24"/>
        <v>728280</v>
      </c>
      <c r="L72" s="130">
        <f>SUM(L73:L79)</f>
        <v>0</v>
      </c>
      <c r="M72" s="130">
        <f t="shared" si="24"/>
        <v>0</v>
      </c>
      <c r="N72" s="130">
        <f t="shared" si="24"/>
        <v>10753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128426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30759009</v>
      </c>
      <c r="E73" s="138">
        <f>SUMIFS('Plan rashoda za unos u SAP'!$J$3:$J$501,'Plan rashoda za unos u SAP'!$C$3:$C$501,"=11",'Plan rashoda za unos u SAP'!$N$3:$N$501,"=31")+SUMIFS('ANALITIKA EU PROJEKATA'!$H$3:$H$498,'ANALITIKA EU PROJEKATA'!$A$3:$A$498,"=11",'ANALITIKA EU PROJEKATA'!$Q$3:$Q$498,"=31")</f>
        <v>21422560</v>
      </c>
      <c r="F73" s="138">
        <f>SUMIFS('Plan rashoda za unos u SAP'!$J$3:$J$501,'Plan rashoda za unos u SAP'!$C$3:$C$501,"=12",'Plan rashoda za unos u SAP'!$N$3:$N$501,"=31")+SUMIFS('ANALITIKA EU PROJEKATA'!$H$3:$H$498,'ANALITIKA EU PROJEKATA'!$A$3:$A$498,"=12",'ANALITIKA EU PROJEKATA'!$Q$3:$Q$498,"=31")</f>
        <v>0</v>
      </c>
      <c r="G73" s="138">
        <f>SUMIFS('Plan rashoda za unos u SAP'!$J$3:$J$501,'Plan rashoda za unos u SAP'!$C$3:$C$501,"=31",'Plan rashoda za unos u SAP'!$N$3:$N$501,"=31")+SUMIFS('ANALITIKA EU PROJEKATA'!$H$3:$H$498,'ANALITIKA EU PROJEKATA'!$A$3:$A$498,"=31",'ANALITIKA EU PROJEKATA'!$Q$3:$Q$498,"=31")</f>
        <v>3295000</v>
      </c>
      <c r="H73" s="138">
        <f>SUMIFS('Plan rashoda za unos u SAP'!$J$3:$J$501,'Plan rashoda za unos u SAP'!$C$3:$C$501,"=41",'Plan rashoda za unos u SAP'!$N$3:$N$501,"=31")+SUMIFS('ANALITIKA EU PROJEKATA'!$H$3:$H$498,'ANALITIKA EU PROJEKATA'!$A$3:$A$498,"=41",'ANALITIKA EU PROJEKATA'!$Q$3:$Q$498,"=31")</f>
        <v>0</v>
      </c>
      <c r="I73" s="138">
        <f>SUMIFS('Plan rashoda za unos u SAP'!$J$3:$J$501,'Plan rashoda za unos u SAP'!$C$3:$C$501,"=43",'Plan rashoda za unos u SAP'!$N$3:$N$501,"=31")+SUMIFS('ANALITIKA EU PROJEKATA'!$H$3:$H$498,'ANALITIKA EU PROJEKATA'!$A$3:$A$498,"=43",'ANALITIKA EU PROJEKATA'!$Q$3:$Q$498,"=31")</f>
        <v>3087250</v>
      </c>
      <c r="J73" s="138">
        <f>SUMIFS('Plan rashoda za unos u SAP'!$J$3:$J$501,'Plan rashoda za unos u SAP'!$C$3:$C$501,"=51",'Plan rashoda za unos u SAP'!$N$3:$N$501,"=31")+SUMIFS('ANALITIKA EU PROJEKATA'!$H$3:$H$498,'ANALITIKA EU PROJEKATA'!$A$3:$A$498,"=51",'ANALITIKA EU PROJEKATA'!$Q$3:$Q$498,"=31")</f>
        <v>2593920</v>
      </c>
      <c r="K73" s="138">
        <f>SUMIFS('Plan rashoda za unos u SAP'!$J$3:$J$501,'Plan rashoda za unos u SAP'!$C$3:$C$501,"=52",'Plan rashoda za unos u SAP'!$N$3:$N$501,"=31")+SUMIFS('ANALITIKA EU PROJEKATA'!$H$3:$H$498,'ANALITIKA EU PROJEKATA'!$A$3:$A$498,"=52",'ANALITIKA EU PROJEKATA'!$Q$3:$Q$498,"=31")</f>
        <v>358755</v>
      </c>
      <c r="L73" s="138">
        <f>SUMIFS('Plan rashoda za unos u SAP'!$J$3:$J$501,'Plan rashoda za unos u SAP'!$C$3:$C$501,"=552",'Plan rashoda za unos u SAP'!$N$3:$N$501,"=31")+SUMIFS('ANALITIKA EU PROJEKATA'!$H$3:$H$498,'ANALITIKA EU PROJEKATA'!$A$3:$A$498,"=552",'ANALITIKA EU PROJEKATA'!$Q$3:$Q$498,"=31")</f>
        <v>0</v>
      </c>
      <c r="M73" s="138">
        <f>SUMIFS('Plan rashoda za unos u SAP'!$J$3:$J$501,'Plan rashoda za unos u SAP'!$C$3:$C$501,"=559",'Plan rashoda za unos u SAP'!$N$3:$N$501,"=31")+SUMIFS('ANALITIKA EU PROJEKATA'!$H$3:$H$498,'ANALITIKA EU PROJEKATA'!$A$3:$A$498,"=559",'ANALITIKA EU PROJEKATA'!$Q$3:$Q$498,"=31")</f>
        <v>0</v>
      </c>
      <c r="N73" s="138">
        <f>SUMIFS('Plan rashoda za unos u SAP'!$J$3:$J$501,'Plan rashoda za unos u SAP'!$C$3:$C$501,"=561",'Plan rashoda za unos u SAP'!$N$3:$N$501,"=31")+SUMIFS('ANALITIKA EU PROJEKATA'!$H$3:$H$498,'ANALITIKA EU PROJEKATA'!$A$3:$A$498,"=561",'ANALITIKA EU PROJEKATA'!$Q$3:$Q$498,"=31")</f>
        <v>1524</v>
      </c>
      <c r="O73" s="138">
        <f>SUMIFS('Plan rashoda za unos u SAP'!$J$3:$J$501,'Plan rashoda za unos u SAP'!$C$3:$C$501,"=563",'Plan rashoda za unos u SAP'!$N$3:$N$501,"=31")+SUMIFS('ANALITIKA EU PROJEKATA'!$H$3:$H$498,'ANALITIKA EU PROJEKATA'!$A$3:$A$498,"=563",'ANALITIKA EU PROJEKATA'!$Q$3:$Q$498,"=31")</f>
        <v>0</v>
      </c>
      <c r="P73" s="138">
        <f>SUMIFS('Plan rashoda za unos u SAP'!$J$3:$J$501,'Plan rashoda za unos u SAP'!$C$3:$C$501,"=573",'Plan rashoda za unos u SAP'!$N$3:$N$501,"=31")+SUMIFS('ANALITIKA EU PROJEKATA'!$H$3:$H$498,'ANALITIKA EU PROJEKATA'!$A$3:$A$498,"=573",'ANALITIKA EU PROJEKATA'!$Q$3:$Q$498,"=31")</f>
        <v>0</v>
      </c>
      <c r="Q73" s="138">
        <f>SUMIFS('Plan rashoda za unos u SAP'!$J$3:$J$501,'Plan rashoda za unos u SAP'!$C$3:$C$501,"=575",'Plan rashoda za unos u SAP'!$N$3:$N$501,"=31")+SUMIFS('ANALITIKA EU PROJEKATA'!$H$3:$H$498,'ANALITIKA EU PROJEKATA'!$A$3:$A$498,"=575",'ANALITIKA EU PROJEKATA'!$Q$3:$Q$498,"=31")</f>
        <v>0</v>
      </c>
      <c r="R73" s="138">
        <f>SUMIFS('Plan rashoda za unos u SAP'!$J$3:$J$501,'Plan rashoda za unos u SAP'!$C$3:$C$501,"=576",'Plan rashoda za unos u SAP'!$N$3:$N$501,"=31")+SUMIFS('ANALITIKA EU PROJEKATA'!$H$3:$H$498,'ANALITIKA EU PROJEKATA'!$A$3:$A$498,"=576",'ANALITIKA EU PROJEKATA'!$Q$3:$Q$498,"=31")</f>
        <v>0</v>
      </c>
      <c r="S73" s="138">
        <f>SUMIFS('Plan rashoda za unos u SAP'!$J$3:$J$501,'Plan rashoda za unos u SAP'!$C$3:$C$501,"=581",'Plan rashoda za unos u SAP'!$N$3:$N$501,"=31")+SUMIFS('ANALITIKA EU PROJEKATA'!$H$3:$H$498,'ANALITIKA EU PROJEKATA'!$A$3:$A$498,"=581",'ANALITIKA EU PROJEKATA'!$Q$3:$Q$498,"=31")</f>
        <v>0</v>
      </c>
      <c r="T73" s="138">
        <f>SUMIFS('Plan rashoda za unos u SAP'!$J$3:$J$501,'Plan rashoda za unos u SAP'!$C$3:$C$501,"=61",'Plan rashoda za unos u SAP'!$N$3:$N$501,"=31")+SUMIFS('ANALITIKA EU PROJEKATA'!$H$3:$H$498,'ANALITIKA EU PROJEKATA'!$A$3:$A$498,"=61",'ANALITIKA EU PROJEKATA'!$Q$3:$Q$498,"=31")</f>
        <v>0</v>
      </c>
      <c r="U73" s="138">
        <f>SUMIFS('Plan rashoda za unos u SAP'!$J$3:$J$501,'Plan rashoda za unos u SAP'!$C$3:$C$501,"=63",'Plan rashoda za unos u SAP'!$N$3:$N$501,"=31")+SUMIFS('ANALITIKA EU PROJEKATA'!$H$3:$H$498,'ANALITIKA EU PROJEKATA'!$A$3:$A$498,"=63",'ANALITIKA EU PROJEKATA'!$Q$3:$Q$498,"=31")</f>
        <v>0</v>
      </c>
      <c r="V73" s="138">
        <f>SUMIFS('Plan rashoda za unos u SAP'!$J$3:$J$501,'Plan rashoda za unos u SAP'!$C$3:$C$501,"=71",'Plan rashoda za unos u SAP'!$N$3:$N$501,"=31")+SUMIFS('ANALITIKA EU PROJEKATA'!$H$3:$H$498,'ANALITIKA EU PROJEKATA'!$A$3:$A$498,"=71",'ANALITIKA EU PROJEKATA'!$Q$3:$Q$498,"=31")</f>
        <v>0</v>
      </c>
      <c r="W73" s="138">
        <f>SUMIFS('Plan rashoda za unos u SAP'!$J$3:$J$501,'Plan rashoda za unos u SAP'!$C$3:$C$501,"=81",'Plan rashoda za unos u SAP'!$N$3:$N$501,"=31")+SUMIFS('ANALITIKA EU PROJEKATA'!$H$3:$H$498,'ANALITIKA EU PROJEKATA'!$A$3:$A$498,"=81",'ANALITIKA EU PROJEKATA'!$Q$3:$Q$498,"=31")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5235957</v>
      </c>
      <c r="E74" s="138">
        <f>SUMIFS('Plan rashoda za unos u SAP'!$J$3:$J$501,'Plan rashoda za unos u SAP'!$C$3:$C$501,"=11",'Plan rashoda za unos u SAP'!$N$3:$N$501,"=32")+SUMIFS('ANALITIKA EU PROJEKATA'!$H$3:$H$498,'ANALITIKA EU PROJEKATA'!$A$3:$A$498,"=11",'ANALITIKA EU PROJEKATA'!$Q$3:$Q$498,"=32")</f>
        <v>3306577</v>
      </c>
      <c r="F74" s="138">
        <f>SUMIFS('Plan rashoda za unos u SAP'!$J$3:$J$501,'Plan rashoda za unos u SAP'!$C$3:$C$501,"=12",'Plan rashoda za unos u SAP'!$N$3:$N$501,"=32")+SUMIFS('ANALITIKA EU PROJEKATA'!$H$3:$H$498,'ANALITIKA EU PROJEKATA'!$A$3:$A$498,"=12",'ANALITIKA EU PROJEKATA'!$Q$3:$Q$498,"=32")</f>
        <v>0</v>
      </c>
      <c r="G74" s="138">
        <f>SUMIFS('Plan rashoda za unos u SAP'!$J$3:$J$501,'Plan rashoda za unos u SAP'!$C$3:$C$501,"=31",'Plan rashoda za unos u SAP'!$N$3:$N$501,"=32")+SUMIFS('ANALITIKA EU PROJEKATA'!$H$3:$H$498,'ANALITIKA EU PROJEKATA'!$A$3:$A$498,"=31",'ANALITIKA EU PROJEKATA'!$Q$3:$Q$498,"=32")</f>
        <v>617200</v>
      </c>
      <c r="H74" s="138">
        <f>SUMIFS('Plan rashoda za unos u SAP'!$J$3:$J$501,'Plan rashoda za unos u SAP'!$C$3:$C$501,"=41",'Plan rashoda za unos u SAP'!$N$3:$N$501,"=32")+SUMIFS('ANALITIKA EU PROJEKATA'!$H$3:$H$498,'ANALITIKA EU PROJEKATA'!$A$3:$A$498,"=41",'ANALITIKA EU PROJEKATA'!$Q$3:$Q$498,"=32")</f>
        <v>0</v>
      </c>
      <c r="I74" s="138">
        <f>SUMIFS('Plan rashoda za unos u SAP'!$J$3:$J$501,'Plan rashoda za unos u SAP'!$C$3:$C$501,"=43",'Plan rashoda za unos u SAP'!$N$3:$N$501,"=32")+SUMIFS('ANALITIKA EU PROJEKATA'!$H$3:$H$498,'ANALITIKA EU PROJEKATA'!$A$3:$A$498,"=43",'ANALITIKA EU PROJEKATA'!$Q$3:$Q$498,"=32")</f>
        <v>839000</v>
      </c>
      <c r="J74" s="138">
        <f>SUMIFS('Plan rashoda za unos u SAP'!$J$3:$J$501,'Plan rashoda za unos u SAP'!$C$3:$C$501,"=51",'Plan rashoda za unos u SAP'!$N$3:$N$501,"=32")+SUMIFS('ANALITIKA EU PROJEKATA'!$H$3:$H$498,'ANALITIKA EU PROJEKATA'!$A$3:$A$498,"=51",'ANALITIKA EU PROJEKATA'!$Q$3:$Q$498,"=32")</f>
        <v>20000</v>
      </c>
      <c r="K74" s="138">
        <f>SUMIFS('Plan rashoda za unos u SAP'!$J$3:$J$501,'Plan rashoda za unos u SAP'!$C$3:$C$501,"=52",'Plan rashoda za unos u SAP'!$N$3:$N$501,"=32")+SUMIFS('ANALITIKA EU PROJEKATA'!$H$3:$H$498,'ANALITIKA EU PROJEKATA'!$A$3:$A$498,"=52",'ANALITIKA EU PROJEKATA'!$Q$3:$Q$498,"=32")</f>
        <v>315525</v>
      </c>
      <c r="L74" s="138">
        <f>SUMIFS('Plan rashoda za unos u SAP'!$J$3:$J$501,'Plan rashoda za unos u SAP'!$C$3:$C$501,"=552",'Plan rashoda za unos u SAP'!$N$3:$N$501,"=32")+SUMIFS('ANALITIKA EU PROJEKATA'!$H$3:$H$498,'ANALITIKA EU PROJEKATA'!$A$3:$A$498,"=552",'ANALITIKA EU PROJEKATA'!$Q$3:$Q$498,"=32")</f>
        <v>0</v>
      </c>
      <c r="M74" s="138">
        <f>SUMIFS('Plan rashoda za unos u SAP'!$J$3:$J$501,'Plan rashoda za unos u SAP'!$C$3:$C$501,"=559",'Plan rashoda za unos u SAP'!$N$3:$N$501,"=32")+SUMIFS('ANALITIKA EU PROJEKATA'!$H$3:$H$498,'ANALITIKA EU PROJEKATA'!$A$3:$A$498,"=559",'ANALITIKA EU PROJEKATA'!$Q$3:$Q$498,"=32")</f>
        <v>0</v>
      </c>
      <c r="N74" s="138">
        <f>SUMIFS('Plan rashoda za unos u SAP'!$J$3:$J$501,'Plan rashoda za unos u SAP'!$C$3:$C$501,"=561",'Plan rashoda za unos u SAP'!$N$3:$N$501,"=32")+SUMIFS('ANALITIKA EU PROJEKATA'!$H$3:$H$498,'ANALITIKA EU PROJEKATA'!$A$3:$A$498,"=561",'ANALITIKA EU PROJEKATA'!$Q$3:$Q$498,"=32")</f>
        <v>9229</v>
      </c>
      <c r="O74" s="138">
        <f>SUMIFS('Plan rashoda za unos u SAP'!$J$3:$J$501,'Plan rashoda za unos u SAP'!$C$3:$C$501,"=563",'Plan rashoda za unos u SAP'!$N$3:$N$501,"=32")+SUMIFS('ANALITIKA EU PROJEKATA'!$H$3:$H$498,'ANALITIKA EU PROJEKATA'!$A$3:$A$498,"=563",'ANALITIKA EU PROJEKATA'!$Q$3:$Q$498,"=32")</f>
        <v>0</v>
      </c>
      <c r="P74" s="138">
        <f>SUMIFS('Plan rashoda za unos u SAP'!$J$3:$J$501,'Plan rashoda za unos u SAP'!$C$3:$C$501,"=573",'Plan rashoda za unos u SAP'!$N$3:$N$501,"=32")+SUMIFS('ANALITIKA EU PROJEKATA'!$H$3:$H$498,'ANALITIKA EU PROJEKATA'!$A$3:$A$498,"=573",'ANALITIKA EU PROJEKATA'!$Q$3:$Q$498,"=32")</f>
        <v>0</v>
      </c>
      <c r="Q74" s="138">
        <f>SUMIFS('Plan rashoda za unos u SAP'!$J$3:$J$501,'Plan rashoda za unos u SAP'!$C$3:$C$501,"=575",'Plan rashoda za unos u SAP'!$N$3:$N$501,"=32")+SUMIFS('ANALITIKA EU PROJEKATA'!$H$3:$H$498,'ANALITIKA EU PROJEKATA'!$A$3:$A$498,"=575",'ANALITIKA EU PROJEKATA'!$Q$3:$Q$498,"=32")</f>
        <v>0</v>
      </c>
      <c r="R74" s="138">
        <f>SUMIFS('Plan rashoda za unos u SAP'!$J$3:$J$501,'Plan rashoda za unos u SAP'!$C$3:$C$501,"=576",'Plan rashoda za unos u SAP'!$N$3:$N$501,"=32")+SUMIFS('ANALITIKA EU PROJEKATA'!$H$3:$H$498,'ANALITIKA EU PROJEKATA'!$A$3:$A$498,"=576",'ANALITIKA EU PROJEKATA'!$Q$3:$Q$498,"=32")</f>
        <v>0</v>
      </c>
      <c r="S74" s="138">
        <f>SUMIFS('Plan rashoda za unos u SAP'!$J$3:$J$501,'Plan rashoda za unos u SAP'!$C$3:$C$501,"=581",'Plan rashoda za unos u SAP'!$N$3:$N$501,"=32")+SUMIFS('ANALITIKA EU PROJEKATA'!$H$3:$H$498,'ANALITIKA EU PROJEKATA'!$A$3:$A$498,"=581",'ANALITIKA EU PROJEKATA'!$Q$3:$Q$498,"=32")</f>
        <v>0</v>
      </c>
      <c r="T74" s="138">
        <f>SUMIFS('Plan rashoda za unos u SAP'!$J$3:$J$501,'Plan rashoda za unos u SAP'!$C$3:$C$501,"=61",'Plan rashoda za unos u SAP'!$N$3:$N$501,"=32")+SUMIFS('ANALITIKA EU PROJEKATA'!$H$3:$H$498,'ANALITIKA EU PROJEKATA'!$A$3:$A$498,"=61",'ANALITIKA EU PROJEKATA'!$Q$3:$Q$498,"=32")</f>
        <v>128426</v>
      </c>
      <c r="U74" s="138">
        <f>SUMIFS('Plan rashoda za unos u SAP'!$J$3:$J$501,'Plan rashoda za unos u SAP'!$C$3:$C$501,"=63",'Plan rashoda za unos u SAP'!$N$3:$N$501,"=32")+SUMIFS('ANALITIKA EU PROJEKATA'!$H$3:$H$498,'ANALITIKA EU PROJEKATA'!$A$3:$A$498,"=63",'ANALITIKA EU PROJEKATA'!$Q$3:$Q$498,"=32")</f>
        <v>0</v>
      </c>
      <c r="V74" s="138">
        <f>SUMIFS('Plan rashoda za unos u SAP'!$J$3:$J$501,'Plan rashoda za unos u SAP'!$C$3:$C$501,"=71",'Plan rashoda za unos u SAP'!$N$3:$N$501,"=32")+SUMIFS('ANALITIKA EU PROJEKATA'!$H$3:$H$498,'ANALITIKA EU PROJEKATA'!$A$3:$A$498,"=71",'ANALITIKA EU PROJEKATA'!$Q$3:$Q$498,"=32")</f>
        <v>0</v>
      </c>
      <c r="W74" s="138">
        <f>SUMIFS('Plan rashoda za unos u SAP'!$J$3:$J$501,'Plan rashoda za unos u SAP'!$C$3:$C$501,"=81",'Plan rashoda za unos u SAP'!$N$3:$N$501,"=32")+SUMIFS('ANALITIKA EU PROJEKATA'!$H$3:$H$498,'ANALITIKA EU PROJEKATA'!$A$3:$A$498,"=81",'ANALITIKA EU PROJEKATA'!$Q$3:$Q$498,"=32")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30500</v>
      </c>
      <c r="E75" s="138">
        <f>SUMIFS('Plan rashoda za unos u SAP'!$J$3:$J$501,'Plan rashoda za unos u SAP'!$C$3:$C$501,"=11",'Plan rashoda za unos u SAP'!$N$3:$N$501,"=34")+SUMIFS('ANALITIKA EU PROJEKATA'!$H$3:$H$498,'ANALITIKA EU PROJEKATA'!$A$3:$A$498,"=11",'ANALITIKA EU PROJEKATA'!$Q$3:$Q$498,"=34")</f>
        <v>27000</v>
      </c>
      <c r="F75" s="138">
        <f>SUMIFS('Plan rashoda za unos u SAP'!$J$3:$J$501,'Plan rashoda za unos u SAP'!$C$3:$C$501,"=12",'Plan rashoda za unos u SAP'!$N$3:$N$501,"=34")+SUMIFS('ANALITIKA EU PROJEKATA'!$H$3:$H$498,'ANALITIKA EU PROJEKATA'!$A$3:$A$498,"=12",'ANALITIKA EU PROJEKATA'!$Q$3:$Q$498,"=34")</f>
        <v>0</v>
      </c>
      <c r="G75" s="138">
        <f>SUMIFS('Plan rashoda za unos u SAP'!$J$3:$J$501,'Plan rashoda za unos u SAP'!$C$3:$C$501,"=31",'Plan rashoda za unos u SAP'!$N$3:$N$501,"=34")+SUMIFS('ANALITIKA EU PROJEKATA'!$H$3:$H$498,'ANALITIKA EU PROJEKATA'!$A$3:$A$498,"=31",'ANALITIKA EU PROJEKATA'!$Q$3:$Q$498,"=34")</f>
        <v>1500</v>
      </c>
      <c r="H75" s="138">
        <f>SUMIFS('Plan rashoda za unos u SAP'!$J$3:$J$501,'Plan rashoda za unos u SAP'!$C$3:$C$501,"=41",'Plan rashoda za unos u SAP'!$N$3:$N$501,"=34")+SUMIFS('ANALITIKA EU PROJEKATA'!$H$3:$H$498,'ANALITIKA EU PROJEKATA'!$A$3:$A$498,"=41",'ANALITIKA EU PROJEKATA'!$Q$3:$Q$498,"=34")</f>
        <v>0</v>
      </c>
      <c r="I75" s="138">
        <f>SUMIFS('Plan rashoda za unos u SAP'!$J$3:$J$501,'Plan rashoda za unos u SAP'!$C$3:$C$501,"=43",'Plan rashoda za unos u SAP'!$N$3:$N$501,"=34")+SUMIFS('ANALITIKA EU PROJEKATA'!$H$3:$H$498,'ANALITIKA EU PROJEKATA'!$A$3:$A$498,"=43",'ANALITIKA EU PROJEKATA'!$Q$3:$Q$498,"=34")</f>
        <v>1000</v>
      </c>
      <c r="J75" s="138">
        <f>SUMIFS('Plan rashoda za unos u SAP'!$J$3:$J$501,'Plan rashoda za unos u SAP'!$C$3:$C$501,"=51",'Plan rashoda za unos u SAP'!$N$3:$N$501,"=34")+SUMIFS('ANALITIKA EU PROJEKATA'!$H$3:$H$498,'ANALITIKA EU PROJEKATA'!$A$3:$A$498,"=51",'ANALITIKA EU PROJEKATA'!$Q$3:$Q$498,"=34")</f>
        <v>0</v>
      </c>
      <c r="K75" s="138">
        <f>SUMIFS('Plan rashoda za unos u SAP'!$J$3:$J$501,'Plan rashoda za unos u SAP'!$C$3:$C$501,"=52",'Plan rashoda za unos u SAP'!$N$3:$N$501,"=34")+SUMIFS('ANALITIKA EU PROJEKATA'!$H$3:$H$498,'ANALITIKA EU PROJEKATA'!$A$3:$A$498,"=52",'ANALITIKA EU PROJEKATA'!$Q$3:$Q$498,"=34")</f>
        <v>1000</v>
      </c>
      <c r="L75" s="138">
        <f>SUMIFS('Plan rashoda za unos u SAP'!$J$3:$J$501,'Plan rashoda za unos u SAP'!$C$3:$C$501,"=552",'Plan rashoda za unos u SAP'!$N$3:$N$501,"=34")+SUMIFS('ANALITIKA EU PROJEKATA'!$H$3:$H$498,'ANALITIKA EU PROJEKATA'!$A$3:$A$498,"=552",'ANALITIKA EU PROJEKATA'!$Q$3:$Q$498,"=34")</f>
        <v>0</v>
      </c>
      <c r="M75" s="138">
        <f>SUMIFS('Plan rashoda za unos u SAP'!$J$3:$J$501,'Plan rashoda za unos u SAP'!$C$3:$C$501,"=559",'Plan rashoda za unos u SAP'!$N$3:$N$501,"=34")+SUMIFS('ANALITIKA EU PROJEKATA'!$H$3:$H$498,'ANALITIKA EU PROJEKATA'!$A$3:$A$498,"=559",'ANALITIKA EU PROJEKATA'!$Q$3:$Q$498,"=34")</f>
        <v>0</v>
      </c>
      <c r="N75" s="138">
        <f>SUMIFS('Plan rashoda za unos u SAP'!$J$3:$J$501,'Plan rashoda za unos u SAP'!$C$3:$C$501,"=561",'Plan rashoda za unos u SAP'!$N$3:$N$501,"=34")+SUMIFS('ANALITIKA EU PROJEKATA'!$H$3:$H$498,'ANALITIKA EU PROJEKATA'!$A$3:$A$498,"=561",'ANALITIKA EU PROJEKATA'!$Q$3:$Q$498,"=34")</f>
        <v>0</v>
      </c>
      <c r="O75" s="138">
        <f>SUMIFS('Plan rashoda za unos u SAP'!$J$3:$J$501,'Plan rashoda za unos u SAP'!$C$3:$C$501,"=563",'Plan rashoda za unos u SAP'!$N$3:$N$501,"=34")+SUMIFS('ANALITIKA EU PROJEKATA'!$H$3:$H$498,'ANALITIKA EU PROJEKATA'!$A$3:$A$498,"=563",'ANALITIKA EU PROJEKATA'!$Q$3:$Q$498,"=34")</f>
        <v>0</v>
      </c>
      <c r="P75" s="138">
        <f>SUMIFS('Plan rashoda za unos u SAP'!$J$3:$J$501,'Plan rashoda za unos u SAP'!$C$3:$C$501,"=573",'Plan rashoda za unos u SAP'!$N$3:$N$501,"=34")+SUMIFS('ANALITIKA EU PROJEKATA'!$H$3:$H$498,'ANALITIKA EU PROJEKATA'!$A$3:$A$498,"=573",'ANALITIKA EU PROJEKATA'!$Q$3:$Q$498,"=34")</f>
        <v>0</v>
      </c>
      <c r="Q75" s="138">
        <f>SUMIFS('Plan rashoda za unos u SAP'!$J$3:$J$501,'Plan rashoda za unos u SAP'!$C$3:$C$501,"=575",'Plan rashoda za unos u SAP'!$N$3:$N$501,"=34")+SUMIFS('ANALITIKA EU PROJEKATA'!$H$3:$H$498,'ANALITIKA EU PROJEKATA'!$A$3:$A$498,"=575",'ANALITIKA EU PROJEKATA'!$Q$3:$Q$498,"=34")</f>
        <v>0</v>
      </c>
      <c r="R75" s="138">
        <f>SUMIFS('Plan rashoda za unos u SAP'!$J$3:$J$501,'Plan rashoda za unos u SAP'!$C$3:$C$501,"=576",'Plan rashoda za unos u SAP'!$N$3:$N$501,"=34")+SUMIFS('ANALITIKA EU PROJEKATA'!$H$3:$H$498,'ANALITIKA EU PROJEKATA'!$A$3:$A$498,"=576",'ANALITIKA EU PROJEKATA'!$Q$3:$Q$498,"=34")</f>
        <v>0</v>
      </c>
      <c r="S75" s="138">
        <f>SUMIFS('Plan rashoda za unos u SAP'!$J$3:$J$501,'Plan rashoda za unos u SAP'!$C$3:$C$501,"=581",'Plan rashoda za unos u SAP'!$N$3:$N$501,"=34")+SUMIFS('ANALITIKA EU PROJEKATA'!$H$3:$H$498,'ANALITIKA EU PROJEKATA'!$A$3:$A$498,"=581",'ANALITIKA EU PROJEKATA'!$Q$3:$Q$498,"=34")</f>
        <v>0</v>
      </c>
      <c r="T75" s="138">
        <f>SUMIFS('Plan rashoda za unos u SAP'!$J$3:$J$501,'Plan rashoda za unos u SAP'!$C$3:$C$501,"=61",'Plan rashoda za unos u SAP'!$N$3:$N$501,"=34")+SUMIFS('ANALITIKA EU PROJEKATA'!$H$3:$H$498,'ANALITIKA EU PROJEKATA'!$A$3:$A$498,"=61",'ANALITIKA EU PROJEKATA'!$Q$3:$Q$498,"=34")</f>
        <v>0</v>
      </c>
      <c r="U75" s="138">
        <f>SUMIFS('Plan rashoda za unos u SAP'!$J$3:$J$501,'Plan rashoda za unos u SAP'!$C$3:$C$501,"=63",'Plan rashoda za unos u SAP'!$N$3:$N$501,"=34")+SUMIFS('ANALITIKA EU PROJEKATA'!$H$3:$H$498,'ANALITIKA EU PROJEKATA'!$A$3:$A$498,"=63",'ANALITIKA EU PROJEKATA'!$Q$3:$Q$498,"=34")</f>
        <v>0</v>
      </c>
      <c r="V75" s="138">
        <f>SUMIFS('Plan rashoda za unos u SAP'!$J$3:$J$501,'Plan rashoda za unos u SAP'!$C$3:$C$501,"=71",'Plan rashoda za unos u SAP'!$N$3:$N$501,"=34")+SUMIFS('ANALITIKA EU PROJEKATA'!$H$3:$H$498,'ANALITIKA EU PROJEKATA'!$A$3:$A$498,"=71",'ANALITIKA EU PROJEKATA'!$Q$3:$Q$498,"=34")</f>
        <v>0</v>
      </c>
      <c r="W75" s="138">
        <f>SUMIFS('Plan rashoda za unos u SAP'!$J$3:$J$501,'Plan rashoda za unos u SAP'!$C$3:$C$501,"=81",'Plan rashoda za unos u SAP'!$N$3:$N$501,"=34")+SUMIFS('ANALITIKA EU PROJEKATA'!$H$3:$H$498,'ANALITIKA EU PROJEKATA'!$A$3:$A$498,"=81",'ANALITIKA EU PROJEKATA'!$Q$3:$Q$498,"=34")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10000</v>
      </c>
      <c r="E76" s="138">
        <f>SUMIFS('Plan rashoda za unos u SAP'!$J$3:$J$501,'Plan rashoda za unos u SAP'!$C$3:$C$501,"=11",'Plan rashoda za unos u SAP'!$N$3:$N$501,"=35")+SUMIFS('ANALITIKA EU PROJEKATA'!$H$3:$H$498,'ANALITIKA EU PROJEKATA'!$A$3:$A$498,"=11",'ANALITIKA EU PROJEKATA'!$Q$3:$Q$498,"=35")</f>
        <v>0</v>
      </c>
      <c r="F76" s="138">
        <f>SUMIFS('Plan rashoda za unos u SAP'!$J$3:$J$501,'Plan rashoda za unos u SAP'!$C$3:$C$501,"=12",'Plan rashoda za unos u SAP'!$N$3:$N$501,"=35")+SUMIFS('ANALITIKA EU PROJEKATA'!$H$3:$H$498,'ANALITIKA EU PROJEKATA'!$A$3:$A$498,"=12",'ANALITIKA EU PROJEKATA'!$Q$3:$Q$498,"=35")</f>
        <v>0</v>
      </c>
      <c r="G76" s="138">
        <f>SUMIFS('Plan rashoda za unos u SAP'!$J$3:$J$501,'Plan rashoda za unos u SAP'!$C$3:$C$501,"=31",'Plan rashoda za unos u SAP'!$N$3:$N$501,"=35")+SUMIFS('ANALITIKA EU PROJEKATA'!$H$3:$H$498,'ANALITIKA EU PROJEKATA'!$A$3:$A$498,"=31",'ANALITIKA EU PROJEKATA'!$Q$3:$Q$498,"=35")</f>
        <v>0</v>
      </c>
      <c r="H76" s="138">
        <f>SUMIFS('Plan rashoda za unos u SAP'!$J$3:$J$501,'Plan rashoda za unos u SAP'!$C$3:$C$501,"=41",'Plan rashoda za unos u SAP'!$N$3:$N$501,"=35")+SUMIFS('ANALITIKA EU PROJEKATA'!$H$3:$H$498,'ANALITIKA EU PROJEKATA'!$A$3:$A$498,"=41",'ANALITIKA EU PROJEKATA'!$Q$3:$Q$498,"=35")</f>
        <v>0</v>
      </c>
      <c r="I76" s="138">
        <f>SUMIFS('Plan rashoda za unos u SAP'!$J$3:$J$501,'Plan rashoda za unos u SAP'!$C$3:$C$501,"=43",'Plan rashoda za unos u SAP'!$N$3:$N$501,"=35")+SUMIFS('ANALITIKA EU PROJEKATA'!$H$3:$H$498,'ANALITIKA EU PROJEKATA'!$A$3:$A$498,"=43",'ANALITIKA EU PROJEKATA'!$Q$3:$Q$498,"=35")</f>
        <v>0</v>
      </c>
      <c r="J76" s="138">
        <f>SUMIFS('Plan rashoda za unos u SAP'!$J$3:$J$501,'Plan rashoda za unos u SAP'!$C$3:$C$501,"=51",'Plan rashoda za unos u SAP'!$N$3:$N$501,"=35")+SUMIFS('ANALITIKA EU PROJEKATA'!$H$3:$H$498,'ANALITIKA EU PROJEKATA'!$A$3:$A$498,"=51",'ANALITIKA EU PROJEKATA'!$Q$3:$Q$498,"=35")</f>
        <v>0</v>
      </c>
      <c r="K76" s="138">
        <f>SUMIFS('Plan rashoda za unos u SAP'!$J$3:$J$501,'Plan rashoda za unos u SAP'!$C$3:$C$501,"=52",'Plan rashoda za unos u SAP'!$N$3:$N$501,"=35")+SUMIFS('ANALITIKA EU PROJEKATA'!$H$3:$H$498,'ANALITIKA EU PROJEKATA'!$A$3:$A$498,"=52",'ANALITIKA EU PROJEKATA'!$Q$3:$Q$498,"=35")</f>
        <v>10000</v>
      </c>
      <c r="L76" s="138">
        <f>SUMIFS('Plan rashoda za unos u SAP'!$J$3:$J$501,'Plan rashoda za unos u SAP'!$C$3:$C$501,"=552",'Plan rashoda za unos u SAP'!$N$3:$N$501,"=35")+SUMIFS('ANALITIKA EU PROJEKATA'!$H$3:$H$498,'ANALITIKA EU PROJEKATA'!$A$3:$A$498,"=552",'ANALITIKA EU PROJEKATA'!$Q$3:$Q$498,"=35")</f>
        <v>0</v>
      </c>
      <c r="M76" s="138">
        <f>SUMIFS('Plan rashoda za unos u SAP'!$J$3:$J$501,'Plan rashoda za unos u SAP'!$C$3:$C$501,"=559",'Plan rashoda za unos u SAP'!$N$3:$N$501,"=35")+SUMIFS('ANALITIKA EU PROJEKATA'!$H$3:$H$498,'ANALITIKA EU PROJEKATA'!$A$3:$A$498,"=559",'ANALITIKA EU PROJEKATA'!$Q$3:$Q$498,"=35")</f>
        <v>0</v>
      </c>
      <c r="N76" s="138">
        <f>SUMIFS('Plan rashoda za unos u SAP'!$J$3:$J$501,'Plan rashoda za unos u SAP'!$C$3:$C$501,"=561",'Plan rashoda za unos u SAP'!$N$3:$N$501,"=35")+SUMIFS('ANALITIKA EU PROJEKATA'!$H$3:$H$498,'ANALITIKA EU PROJEKATA'!$A$3:$A$498,"=561",'ANALITIKA EU PROJEKATA'!$Q$3:$Q$498,"=35")</f>
        <v>0</v>
      </c>
      <c r="O76" s="138">
        <f>SUMIFS('Plan rashoda za unos u SAP'!$J$3:$J$501,'Plan rashoda za unos u SAP'!$C$3:$C$501,"=563",'Plan rashoda za unos u SAP'!$N$3:$N$501,"=35")+SUMIFS('ANALITIKA EU PROJEKATA'!$H$3:$H$498,'ANALITIKA EU PROJEKATA'!$A$3:$A$498,"=563",'ANALITIKA EU PROJEKATA'!$Q$3:$Q$498,"=35")</f>
        <v>0</v>
      </c>
      <c r="P76" s="138">
        <f>SUMIFS('Plan rashoda za unos u SAP'!$J$3:$J$501,'Plan rashoda za unos u SAP'!$C$3:$C$501,"=573",'Plan rashoda za unos u SAP'!$N$3:$N$501,"=35")+SUMIFS('ANALITIKA EU PROJEKATA'!$H$3:$H$498,'ANALITIKA EU PROJEKATA'!$A$3:$A$498,"=573",'ANALITIKA EU PROJEKATA'!$Q$3:$Q$498,"=35")</f>
        <v>0</v>
      </c>
      <c r="Q76" s="138">
        <f>SUMIFS('Plan rashoda za unos u SAP'!$J$3:$J$501,'Plan rashoda za unos u SAP'!$C$3:$C$501,"=575",'Plan rashoda za unos u SAP'!$N$3:$N$501,"=35")+SUMIFS('ANALITIKA EU PROJEKATA'!$H$3:$H$498,'ANALITIKA EU PROJEKATA'!$A$3:$A$498,"=575",'ANALITIKA EU PROJEKATA'!$Q$3:$Q$498,"=35")</f>
        <v>0</v>
      </c>
      <c r="R76" s="138">
        <f>SUMIFS('Plan rashoda za unos u SAP'!$J$3:$J$501,'Plan rashoda za unos u SAP'!$C$3:$C$501,"=576",'Plan rashoda za unos u SAP'!$N$3:$N$501,"=35")+SUMIFS('ANALITIKA EU PROJEKATA'!$H$3:$H$498,'ANALITIKA EU PROJEKATA'!$A$3:$A$498,"=576",'ANALITIKA EU PROJEKATA'!$Q$3:$Q$498,"=35")</f>
        <v>0</v>
      </c>
      <c r="S76" s="138">
        <f>SUMIFS('Plan rashoda za unos u SAP'!$J$3:$J$501,'Plan rashoda za unos u SAP'!$C$3:$C$501,"=581",'Plan rashoda za unos u SAP'!$N$3:$N$501,"=35")+SUMIFS('ANALITIKA EU PROJEKATA'!$H$3:$H$498,'ANALITIKA EU PROJEKATA'!$A$3:$A$498,"=581",'ANALITIKA EU PROJEKATA'!$Q$3:$Q$498,"=35")</f>
        <v>0</v>
      </c>
      <c r="T76" s="138">
        <f>SUMIFS('Plan rashoda za unos u SAP'!$J$3:$J$501,'Plan rashoda za unos u SAP'!$C$3:$C$501,"=61",'Plan rashoda za unos u SAP'!$N$3:$N$501,"=35")+SUMIFS('ANALITIKA EU PROJEKATA'!$H$3:$H$498,'ANALITIKA EU PROJEKATA'!$A$3:$A$498,"=61",'ANALITIKA EU PROJEKATA'!$Q$3:$Q$498,"=35")</f>
        <v>0</v>
      </c>
      <c r="U76" s="138">
        <f>SUMIFS('Plan rashoda za unos u SAP'!$J$3:$J$501,'Plan rashoda za unos u SAP'!$C$3:$C$501,"=63",'Plan rashoda za unos u SAP'!$N$3:$N$501,"=35")+SUMIFS('ANALITIKA EU PROJEKATA'!$H$3:$H$498,'ANALITIKA EU PROJEKATA'!$A$3:$A$498,"=63",'ANALITIKA EU PROJEKATA'!$Q$3:$Q$498,"=35")</f>
        <v>0</v>
      </c>
      <c r="V76" s="138">
        <f>SUMIFS('Plan rashoda za unos u SAP'!$J$3:$J$501,'Plan rashoda za unos u SAP'!$C$3:$C$501,"=71",'Plan rashoda za unos u SAP'!$N$3:$N$501,"=35")+SUMIFS('ANALITIKA EU PROJEKATA'!$H$3:$H$498,'ANALITIKA EU PROJEKATA'!$A$3:$A$498,"=71",'ANALITIKA EU PROJEKATA'!$Q$3:$Q$498,"=35")</f>
        <v>0</v>
      </c>
      <c r="W76" s="138">
        <f>SUMIFS('Plan rashoda za unos u SAP'!$J$3:$J$501,'Plan rashoda za unos u SAP'!$C$3:$C$501,"=81",'Plan rashoda za unos u SAP'!$N$3:$N$501,"=35")+SUMIFS('ANALITIKA EU PROJEKATA'!$H$3:$H$498,'ANALITIKA EU PROJEKATA'!$A$3:$A$498,"=81",'ANALITIKA EU PROJEKATA'!$Q$3:$Q$498,"=35")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286000</v>
      </c>
      <c r="E77" s="138">
        <f>SUMIFS('Plan rashoda za unos u SAP'!$J$3:$J$501,'Plan rashoda za unos u SAP'!$C$3:$C$501,"=11",'Plan rashoda za unos u SAP'!$N$3:$N$501,"=36")+SUMIFS('ANALITIKA EU PROJEKATA'!$H$3:$H$498,'ANALITIKA EU PROJEKATA'!$A$3:$A$498,"=11",'ANALITIKA EU PROJEKATA'!$Q$3:$Q$498,"=36")</f>
        <v>0</v>
      </c>
      <c r="F77" s="138">
        <f>SUMIFS('Plan rashoda za unos u SAP'!$J$3:$J$501,'Plan rashoda za unos u SAP'!$C$3:$C$501,"=12",'Plan rashoda za unos u SAP'!$N$3:$N$501,"=36")+SUMIFS('ANALITIKA EU PROJEKATA'!$H$3:$H$498,'ANALITIKA EU PROJEKATA'!$A$3:$A$498,"=12",'ANALITIKA EU PROJEKATA'!$Q$3:$Q$498,"=36")</f>
        <v>0</v>
      </c>
      <c r="G77" s="138">
        <f>SUMIFS('Plan rashoda za unos u SAP'!$J$3:$J$501,'Plan rashoda za unos u SAP'!$C$3:$C$501,"=31",'Plan rashoda za unos u SAP'!$N$3:$N$501,"=36")+SUMIFS('ANALITIKA EU PROJEKATA'!$H$3:$H$498,'ANALITIKA EU PROJEKATA'!$A$3:$A$498,"=31",'ANALITIKA EU PROJEKATA'!$Q$3:$Q$498,"=36")</f>
        <v>45000</v>
      </c>
      <c r="H77" s="138">
        <f>SUMIFS('Plan rashoda za unos u SAP'!$J$3:$J$501,'Plan rashoda za unos u SAP'!$C$3:$C$501,"=41",'Plan rashoda za unos u SAP'!$N$3:$N$501,"=36")+SUMIFS('ANALITIKA EU PROJEKATA'!$H$3:$H$498,'ANALITIKA EU PROJEKATA'!$A$3:$A$498,"=41",'ANALITIKA EU PROJEKATA'!$Q$3:$Q$498,"=36")</f>
        <v>0</v>
      </c>
      <c r="I77" s="138">
        <f>SUMIFS('Plan rashoda za unos u SAP'!$J$3:$J$501,'Plan rashoda za unos u SAP'!$C$3:$C$501,"=43",'Plan rashoda za unos u SAP'!$N$3:$N$501,"=36")+SUMIFS('ANALITIKA EU PROJEKATA'!$H$3:$H$498,'ANALITIKA EU PROJEKATA'!$A$3:$A$498,"=43",'ANALITIKA EU PROJEKATA'!$Q$3:$Q$498,"=36")</f>
        <v>198000</v>
      </c>
      <c r="J77" s="138">
        <f>SUMIFS('Plan rashoda za unos u SAP'!$J$3:$J$501,'Plan rashoda za unos u SAP'!$C$3:$C$501,"=51",'Plan rashoda za unos u SAP'!$N$3:$N$501,"=36")+SUMIFS('ANALITIKA EU PROJEKATA'!$H$3:$H$498,'ANALITIKA EU PROJEKATA'!$A$3:$A$498,"=51",'ANALITIKA EU PROJEKATA'!$Q$3:$Q$498,"=36")</f>
        <v>0</v>
      </c>
      <c r="K77" s="138">
        <f>SUMIFS('Plan rashoda za unos u SAP'!$J$3:$J$501,'Plan rashoda za unos u SAP'!$C$3:$C$501,"=52",'Plan rashoda za unos u SAP'!$N$3:$N$501,"=36")+SUMIFS('ANALITIKA EU PROJEKATA'!$H$3:$H$498,'ANALITIKA EU PROJEKATA'!$A$3:$A$498,"=52",'ANALITIKA EU PROJEKATA'!$Q$3:$Q$498,"=36")</f>
        <v>43000</v>
      </c>
      <c r="L77" s="138">
        <f>SUMIFS('Plan rashoda za unos u SAP'!$J$3:$J$501,'Plan rashoda za unos u SAP'!$C$3:$C$501,"=552",'Plan rashoda za unos u SAP'!$N$3:$N$501,"=36")+SUMIFS('ANALITIKA EU PROJEKATA'!$H$3:$H$498,'ANALITIKA EU PROJEKATA'!$A$3:$A$498,"=552",'ANALITIKA EU PROJEKATA'!$Q$3:$Q$498,"=36")</f>
        <v>0</v>
      </c>
      <c r="M77" s="138">
        <f>SUMIFS('Plan rashoda za unos u SAP'!$J$3:$J$501,'Plan rashoda za unos u SAP'!$C$3:$C$501,"=559",'Plan rashoda za unos u SAP'!$N$3:$N$501,"=36")+SUMIFS('ANALITIKA EU PROJEKATA'!$H$3:$H$498,'ANALITIKA EU PROJEKATA'!$A$3:$A$498,"=559",'ANALITIKA EU PROJEKATA'!$Q$3:$Q$498,"=36")</f>
        <v>0</v>
      </c>
      <c r="N77" s="138">
        <f>SUMIFS('Plan rashoda za unos u SAP'!$J$3:$J$501,'Plan rashoda za unos u SAP'!$C$3:$C$501,"=561",'Plan rashoda za unos u SAP'!$N$3:$N$501,"=36")+SUMIFS('ANALITIKA EU PROJEKATA'!$H$3:$H$498,'ANALITIKA EU PROJEKATA'!$A$3:$A$498,"=561",'ANALITIKA EU PROJEKATA'!$Q$3:$Q$498,"=36")</f>
        <v>0</v>
      </c>
      <c r="O77" s="138">
        <f>SUMIFS('Plan rashoda za unos u SAP'!$J$3:$J$501,'Plan rashoda za unos u SAP'!$C$3:$C$501,"=563",'Plan rashoda za unos u SAP'!$N$3:$N$501,"=36")+SUMIFS('ANALITIKA EU PROJEKATA'!$H$3:$H$498,'ANALITIKA EU PROJEKATA'!$A$3:$A$498,"=563",'ANALITIKA EU PROJEKATA'!$Q$3:$Q$498,"=36")</f>
        <v>0</v>
      </c>
      <c r="P77" s="138">
        <f>SUMIFS('Plan rashoda za unos u SAP'!$J$3:$J$501,'Plan rashoda za unos u SAP'!$C$3:$C$501,"=573",'Plan rashoda za unos u SAP'!$N$3:$N$501,"=36")+SUMIFS('ANALITIKA EU PROJEKATA'!$H$3:$H$498,'ANALITIKA EU PROJEKATA'!$A$3:$A$498,"=573",'ANALITIKA EU PROJEKATA'!$Q$3:$Q$498,"=36")</f>
        <v>0</v>
      </c>
      <c r="Q77" s="138">
        <f>SUMIFS('Plan rashoda za unos u SAP'!$J$3:$J$501,'Plan rashoda za unos u SAP'!$C$3:$C$501,"=575",'Plan rashoda za unos u SAP'!$N$3:$N$501,"=36")+SUMIFS('ANALITIKA EU PROJEKATA'!$H$3:$H$498,'ANALITIKA EU PROJEKATA'!$A$3:$A$498,"=575",'ANALITIKA EU PROJEKATA'!$Q$3:$Q$498,"=36")</f>
        <v>0</v>
      </c>
      <c r="R77" s="138">
        <f>SUMIFS('Plan rashoda za unos u SAP'!$J$3:$J$501,'Plan rashoda za unos u SAP'!$C$3:$C$501,"=576",'Plan rashoda za unos u SAP'!$N$3:$N$501,"=36")+SUMIFS('ANALITIKA EU PROJEKATA'!$H$3:$H$498,'ANALITIKA EU PROJEKATA'!$A$3:$A$498,"=576",'ANALITIKA EU PROJEKATA'!$Q$3:$Q$498,"=36")</f>
        <v>0</v>
      </c>
      <c r="S77" s="138">
        <f>SUMIFS('Plan rashoda za unos u SAP'!$J$3:$J$501,'Plan rashoda za unos u SAP'!$C$3:$C$501,"=581",'Plan rashoda za unos u SAP'!$N$3:$N$501,"=36")+SUMIFS('ANALITIKA EU PROJEKATA'!$H$3:$H$498,'ANALITIKA EU PROJEKATA'!$A$3:$A$498,"=581",'ANALITIKA EU PROJEKATA'!$Q$3:$Q$498,"=36")</f>
        <v>0</v>
      </c>
      <c r="T77" s="138">
        <f>SUMIFS('Plan rashoda za unos u SAP'!$J$3:$J$501,'Plan rashoda za unos u SAP'!$C$3:$C$501,"=61",'Plan rashoda za unos u SAP'!$N$3:$N$501,"=36")+SUMIFS('ANALITIKA EU PROJEKATA'!$H$3:$H$498,'ANALITIKA EU PROJEKATA'!$A$3:$A$498,"=61",'ANALITIKA EU PROJEKATA'!$Q$3:$Q$498,"=36")</f>
        <v>0</v>
      </c>
      <c r="U77" s="138">
        <f>SUMIFS('Plan rashoda za unos u SAP'!$J$3:$J$501,'Plan rashoda za unos u SAP'!$C$3:$C$501,"=63",'Plan rashoda za unos u SAP'!$N$3:$N$501,"=36")+SUMIFS('ANALITIKA EU PROJEKATA'!$H$3:$H$498,'ANALITIKA EU PROJEKATA'!$A$3:$A$498,"=63",'ANALITIKA EU PROJEKATA'!$Q$3:$Q$498,"=36")</f>
        <v>0</v>
      </c>
      <c r="V77" s="138">
        <f>SUMIFS('Plan rashoda za unos u SAP'!$J$3:$J$501,'Plan rashoda za unos u SAP'!$C$3:$C$501,"=71",'Plan rashoda za unos u SAP'!$N$3:$N$501,"=36")+SUMIFS('ANALITIKA EU PROJEKATA'!$H$3:$H$498,'ANALITIKA EU PROJEKATA'!$A$3:$A$498,"=71",'ANALITIKA EU PROJEKATA'!$Q$3:$Q$498,"=36")</f>
        <v>0</v>
      </c>
      <c r="W77" s="138">
        <f>SUMIFS('Plan rashoda za unos u SAP'!$J$3:$J$501,'Plan rashoda za unos u SAP'!$C$3:$C$501,"=81",'Plan rashoda za unos u SAP'!$N$3:$N$501,"=36")+SUMIFS('ANALITIKA EU PROJEKATA'!$H$3:$H$498,'ANALITIKA EU PROJEKATA'!$A$3:$A$498,"=81",'ANALITIKA EU PROJEKATA'!$Q$3:$Q$498,"=36")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33000</v>
      </c>
      <c r="E78" s="138">
        <f>SUMIFS('Plan rashoda za unos u SAP'!$J$3:$J$501,'Plan rashoda za unos u SAP'!$C$3:$C$501,"=11",'Plan rashoda za unos u SAP'!$N$3:$N$501,"=37")+SUMIFS('ANALITIKA EU PROJEKATA'!$H$3:$H$498,'ANALITIKA EU PROJEKATA'!$A$3:$A$498,"=11",'ANALITIKA EU PROJEKATA'!$Q$3:$Q$498,"=37")</f>
        <v>33000</v>
      </c>
      <c r="F78" s="138">
        <f>SUMIFS('Plan rashoda za unos u SAP'!$J$3:$J$501,'Plan rashoda za unos u SAP'!$C$3:$C$501,"=12",'Plan rashoda za unos u SAP'!$N$3:$N$501,"=37")+SUMIFS('ANALITIKA EU PROJEKATA'!$H$3:$H$498,'ANALITIKA EU PROJEKATA'!$A$3:$A$498,"=12",'ANALITIKA EU PROJEKATA'!$Q$3:$Q$498,"=37")</f>
        <v>0</v>
      </c>
      <c r="G78" s="138">
        <f>SUMIFS('Plan rashoda za unos u SAP'!$J$3:$J$501,'Plan rashoda za unos u SAP'!$C$3:$C$501,"=31",'Plan rashoda za unos u SAP'!$N$3:$N$501,"=37")+SUMIFS('ANALITIKA EU PROJEKATA'!$H$3:$H$498,'ANALITIKA EU PROJEKATA'!$A$3:$A$498,"=31",'ANALITIKA EU PROJEKATA'!$Q$3:$Q$498,"=37")</f>
        <v>0</v>
      </c>
      <c r="H78" s="138">
        <f>SUMIFS('Plan rashoda za unos u SAP'!$J$3:$J$501,'Plan rashoda za unos u SAP'!$C$3:$C$501,"=41",'Plan rashoda za unos u SAP'!$N$3:$N$501,"=37")+SUMIFS('ANALITIKA EU PROJEKATA'!$H$3:$H$498,'ANALITIKA EU PROJEKATA'!$A$3:$A$498,"=41",'ANALITIKA EU PROJEKATA'!$Q$3:$Q$498,"=37")</f>
        <v>0</v>
      </c>
      <c r="I78" s="138">
        <f>SUMIFS('Plan rashoda za unos u SAP'!$J$3:$J$501,'Plan rashoda za unos u SAP'!$C$3:$C$501,"=43",'Plan rashoda za unos u SAP'!$N$3:$N$501,"=37")+SUMIFS('ANALITIKA EU PROJEKATA'!$H$3:$H$498,'ANALITIKA EU PROJEKATA'!$A$3:$A$498,"=43",'ANALITIKA EU PROJEKATA'!$Q$3:$Q$498,"=37")</f>
        <v>0</v>
      </c>
      <c r="J78" s="138">
        <f>SUMIFS('Plan rashoda za unos u SAP'!$J$3:$J$501,'Plan rashoda za unos u SAP'!$C$3:$C$501,"=51",'Plan rashoda za unos u SAP'!$N$3:$N$501,"=37")+SUMIFS('ANALITIKA EU PROJEKATA'!$H$3:$H$498,'ANALITIKA EU PROJEKATA'!$A$3:$A$498,"=51",'ANALITIKA EU PROJEKATA'!$Q$3:$Q$498,"=37")</f>
        <v>0</v>
      </c>
      <c r="K78" s="138">
        <f>SUMIFS('Plan rashoda za unos u SAP'!$J$3:$J$501,'Plan rashoda za unos u SAP'!$C$3:$C$501,"=52",'Plan rashoda za unos u SAP'!$N$3:$N$501,"=37")+SUMIFS('ANALITIKA EU PROJEKATA'!$H$3:$H$498,'ANALITIKA EU PROJEKATA'!$A$3:$A$498,"=52",'ANALITIKA EU PROJEKATA'!$Q$3:$Q$498,"=37")</f>
        <v>0</v>
      </c>
      <c r="L78" s="138">
        <f>SUMIFS('Plan rashoda za unos u SAP'!$J$3:$J$501,'Plan rashoda za unos u SAP'!$C$3:$C$501,"=552",'Plan rashoda za unos u SAP'!$N$3:$N$501,"=37")+SUMIFS('ANALITIKA EU PROJEKATA'!$H$3:$H$498,'ANALITIKA EU PROJEKATA'!$A$3:$A$498,"=552",'ANALITIKA EU PROJEKATA'!$Q$3:$Q$498,"=37")</f>
        <v>0</v>
      </c>
      <c r="M78" s="138">
        <f>SUMIFS('Plan rashoda za unos u SAP'!$J$3:$J$501,'Plan rashoda za unos u SAP'!$C$3:$C$501,"=559",'Plan rashoda za unos u SAP'!$N$3:$N$501,"=37")+SUMIFS('ANALITIKA EU PROJEKATA'!$H$3:$H$498,'ANALITIKA EU PROJEKATA'!$A$3:$A$498,"=559",'ANALITIKA EU PROJEKATA'!$Q$3:$Q$498,"=37")</f>
        <v>0</v>
      </c>
      <c r="N78" s="138">
        <f>SUMIFS('Plan rashoda za unos u SAP'!$J$3:$J$501,'Plan rashoda za unos u SAP'!$C$3:$C$501,"=561",'Plan rashoda za unos u SAP'!$N$3:$N$501,"=37")+SUMIFS('ANALITIKA EU PROJEKATA'!$H$3:$H$498,'ANALITIKA EU PROJEKATA'!$A$3:$A$498,"=561",'ANALITIKA EU PROJEKATA'!$Q$3:$Q$498,"=37")</f>
        <v>0</v>
      </c>
      <c r="O78" s="138">
        <f>SUMIFS('Plan rashoda za unos u SAP'!$J$3:$J$501,'Plan rashoda za unos u SAP'!$C$3:$C$501,"=563",'Plan rashoda za unos u SAP'!$N$3:$N$501,"=37")+SUMIFS('ANALITIKA EU PROJEKATA'!$H$3:$H$498,'ANALITIKA EU PROJEKATA'!$A$3:$A$498,"=563",'ANALITIKA EU PROJEKATA'!$Q$3:$Q$498,"=37")</f>
        <v>0</v>
      </c>
      <c r="P78" s="138">
        <f>SUMIFS('Plan rashoda za unos u SAP'!$J$3:$J$501,'Plan rashoda za unos u SAP'!$C$3:$C$501,"=573",'Plan rashoda za unos u SAP'!$N$3:$N$501,"=37")+SUMIFS('ANALITIKA EU PROJEKATA'!$H$3:$H$498,'ANALITIKA EU PROJEKATA'!$A$3:$A$498,"=573",'ANALITIKA EU PROJEKATA'!$Q$3:$Q$498,"=37")</f>
        <v>0</v>
      </c>
      <c r="Q78" s="138">
        <f>SUMIFS('Plan rashoda za unos u SAP'!$J$3:$J$501,'Plan rashoda za unos u SAP'!$C$3:$C$501,"=575",'Plan rashoda za unos u SAP'!$N$3:$N$501,"=37")+SUMIFS('ANALITIKA EU PROJEKATA'!$H$3:$H$498,'ANALITIKA EU PROJEKATA'!$A$3:$A$498,"=575",'ANALITIKA EU PROJEKATA'!$Q$3:$Q$498,"=37")</f>
        <v>0</v>
      </c>
      <c r="R78" s="138">
        <f>SUMIFS('Plan rashoda za unos u SAP'!$J$3:$J$501,'Plan rashoda za unos u SAP'!$C$3:$C$501,"=576",'Plan rashoda za unos u SAP'!$N$3:$N$501,"=37")+SUMIFS('ANALITIKA EU PROJEKATA'!$H$3:$H$498,'ANALITIKA EU PROJEKATA'!$A$3:$A$498,"=576",'ANALITIKA EU PROJEKATA'!$Q$3:$Q$498,"=37")</f>
        <v>0</v>
      </c>
      <c r="S78" s="138">
        <f>SUMIFS('Plan rashoda za unos u SAP'!$J$3:$J$501,'Plan rashoda za unos u SAP'!$C$3:$C$501,"=581",'Plan rashoda za unos u SAP'!$N$3:$N$501,"=37")+SUMIFS('ANALITIKA EU PROJEKATA'!$H$3:$H$498,'ANALITIKA EU PROJEKATA'!$A$3:$A$498,"=581",'ANALITIKA EU PROJEKATA'!$Q$3:$Q$498,"=37")</f>
        <v>0</v>
      </c>
      <c r="T78" s="138">
        <f>SUMIFS('Plan rashoda za unos u SAP'!$J$3:$J$501,'Plan rashoda za unos u SAP'!$C$3:$C$501,"=61",'Plan rashoda za unos u SAP'!$N$3:$N$501,"=37")+SUMIFS('ANALITIKA EU PROJEKATA'!$H$3:$H$498,'ANALITIKA EU PROJEKATA'!$A$3:$A$498,"=61",'ANALITIKA EU PROJEKATA'!$Q$3:$Q$498,"=37")</f>
        <v>0</v>
      </c>
      <c r="U78" s="138">
        <f>SUMIFS('Plan rashoda za unos u SAP'!$J$3:$J$501,'Plan rashoda za unos u SAP'!$C$3:$C$501,"=63",'Plan rashoda za unos u SAP'!$N$3:$N$501,"=37")+SUMIFS('ANALITIKA EU PROJEKATA'!$H$3:$H$498,'ANALITIKA EU PROJEKATA'!$A$3:$A$498,"=63",'ANALITIKA EU PROJEKATA'!$Q$3:$Q$498,"=37")</f>
        <v>0</v>
      </c>
      <c r="V78" s="138">
        <f>SUMIFS('Plan rashoda za unos u SAP'!$J$3:$J$501,'Plan rashoda za unos u SAP'!$C$3:$C$501,"=71",'Plan rashoda za unos u SAP'!$N$3:$N$501,"=37")+SUMIFS('ANALITIKA EU PROJEKATA'!$H$3:$H$498,'ANALITIKA EU PROJEKATA'!$A$3:$A$498,"=71",'ANALITIKA EU PROJEKATA'!$Q$3:$Q$498,"=37")</f>
        <v>0</v>
      </c>
      <c r="W78" s="138">
        <f>SUMIFS('Plan rashoda za unos u SAP'!$J$3:$J$501,'Plan rashoda za unos u SAP'!$C$3:$C$501,"=81",'Plan rashoda za unos u SAP'!$N$3:$N$501,"=37")+SUMIFS('ANALITIKA EU PROJEKATA'!$H$3:$H$498,'ANALITIKA EU PROJEKATA'!$A$3:$A$498,"=81",'ANALITIKA EU PROJEKATA'!$Q$3:$Q$498,"=37")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PROJEKATA'!$H$3:$H$498,'ANALITIKA EU PROJEKATA'!$A$3:$A$498,"=11",'ANALITIKA EU PROJEKATA'!$Q$3:$Q$498,"=38")</f>
        <v>0</v>
      </c>
      <c r="F79" s="138">
        <f>SUMIFS('Plan rashoda za unos u SAP'!$J$3:$J$501,'Plan rashoda za unos u SAP'!$C$3:$C$501,"=12",'Plan rashoda za unos u SAP'!$N$3:$N$501,"=38")+SUMIFS('ANALITIKA EU PROJEKATA'!$H$3:$H$498,'ANALITIKA EU PROJEKATA'!$A$3:$A$498,"=12",'ANALITIKA EU PROJEKATA'!$Q$3:$Q$498,"=38")</f>
        <v>0</v>
      </c>
      <c r="G79" s="138">
        <f>SUMIFS('Plan rashoda za unos u SAP'!$J$3:$J$501,'Plan rashoda za unos u SAP'!$C$3:$C$501,"=31",'Plan rashoda za unos u SAP'!$N$3:$N$501,"=38")+SUMIFS('ANALITIKA EU PROJEKATA'!$H$3:$H$498,'ANALITIKA EU PROJEKATA'!$A$3:$A$498,"=31",'ANALITIKA EU PROJEKATA'!$Q$3:$Q$498,"=38")</f>
        <v>0</v>
      </c>
      <c r="H79" s="138">
        <f>SUMIFS('Plan rashoda za unos u SAP'!$J$3:$J$501,'Plan rashoda za unos u SAP'!$C$3:$C$501,"=41",'Plan rashoda za unos u SAP'!$N$3:$N$501,"=38")+SUMIFS('ANALITIKA EU PROJEKATA'!$H$3:$H$498,'ANALITIKA EU PROJEKATA'!$A$3:$A$498,"=41",'ANALITIKA EU PROJEKATA'!$Q$3:$Q$498,"=38")</f>
        <v>0</v>
      </c>
      <c r="I79" s="138">
        <f>SUMIFS('Plan rashoda za unos u SAP'!$J$3:$J$501,'Plan rashoda za unos u SAP'!$C$3:$C$501,"=43",'Plan rashoda za unos u SAP'!$N$3:$N$501,"=38")+SUMIFS('ANALITIKA EU PROJEKATA'!$H$3:$H$498,'ANALITIKA EU PROJEKATA'!$A$3:$A$498,"=43",'ANALITIKA EU PROJEKATA'!$Q$3:$Q$498,"=38")</f>
        <v>0</v>
      </c>
      <c r="J79" s="138">
        <f>SUMIFS('Plan rashoda za unos u SAP'!$J$3:$J$501,'Plan rashoda za unos u SAP'!$C$3:$C$501,"=51",'Plan rashoda za unos u SAP'!$N$3:$N$501,"=38")+SUMIFS('ANALITIKA EU PROJEKATA'!$H$3:$H$498,'ANALITIKA EU PROJEKATA'!$A$3:$A$498,"=51",'ANALITIKA EU PROJEKATA'!$Q$3:$Q$498,"=38")</f>
        <v>0</v>
      </c>
      <c r="K79" s="138">
        <f>SUMIFS('Plan rashoda za unos u SAP'!$J$3:$J$501,'Plan rashoda za unos u SAP'!$C$3:$C$501,"=52",'Plan rashoda za unos u SAP'!$N$3:$N$501,"=38")+SUMIFS('ANALITIKA EU PROJEKATA'!$H$3:$H$498,'ANALITIKA EU PROJEKATA'!$A$3:$A$498,"=52",'ANALITIKA EU PROJEKATA'!$Q$3:$Q$498,"=38")</f>
        <v>0</v>
      </c>
      <c r="L79" s="138">
        <f>SUMIFS('Plan rashoda za unos u SAP'!$J$3:$J$501,'Plan rashoda za unos u SAP'!$C$3:$C$501,"=552",'Plan rashoda za unos u SAP'!$N$3:$N$501,"=38")+SUMIFS('ANALITIKA EU PROJEKATA'!$H$3:$H$498,'ANALITIKA EU PROJEKATA'!$A$3:$A$498,"=552",'ANALITIKA EU PROJEKATA'!$Q$3:$Q$498,"=38")</f>
        <v>0</v>
      </c>
      <c r="M79" s="138">
        <f>SUMIFS('Plan rashoda za unos u SAP'!$J$3:$J$501,'Plan rashoda za unos u SAP'!$C$3:$C$501,"=559",'Plan rashoda za unos u SAP'!$N$3:$N$501,"=38")+SUMIFS('ANALITIKA EU PROJEKATA'!$H$3:$H$498,'ANALITIKA EU PROJEKATA'!$A$3:$A$498,"=559",'ANALITIKA EU PROJEKATA'!$Q$3:$Q$498,"=38")</f>
        <v>0</v>
      </c>
      <c r="N79" s="138">
        <f>SUMIFS('Plan rashoda za unos u SAP'!$J$3:$J$501,'Plan rashoda za unos u SAP'!$C$3:$C$501,"=561",'Plan rashoda za unos u SAP'!$N$3:$N$501,"=38")+SUMIFS('ANALITIKA EU PROJEKATA'!$H$3:$H$498,'ANALITIKA EU PROJEKATA'!$A$3:$A$498,"=561",'ANALITIKA EU PROJEKATA'!$Q$3:$Q$498,"=38")</f>
        <v>0</v>
      </c>
      <c r="O79" s="138">
        <f>SUMIFS('Plan rashoda za unos u SAP'!$J$3:$J$501,'Plan rashoda za unos u SAP'!$C$3:$C$501,"=563",'Plan rashoda za unos u SAP'!$N$3:$N$501,"=38")+SUMIFS('ANALITIKA EU PROJEKATA'!$H$3:$H$498,'ANALITIKA EU PROJEKATA'!$A$3:$A$498,"=563",'ANALITIKA EU PROJEKATA'!$Q$3:$Q$498,"=38")</f>
        <v>0</v>
      </c>
      <c r="P79" s="138">
        <f>SUMIFS('Plan rashoda za unos u SAP'!$J$3:$J$501,'Plan rashoda za unos u SAP'!$C$3:$C$501,"=573",'Plan rashoda za unos u SAP'!$N$3:$N$501,"=38")+SUMIFS('ANALITIKA EU PROJEKATA'!$H$3:$H$498,'ANALITIKA EU PROJEKATA'!$A$3:$A$498,"=573",'ANALITIKA EU PROJEKATA'!$Q$3:$Q$498,"=38")</f>
        <v>0</v>
      </c>
      <c r="Q79" s="138">
        <f>SUMIFS('Plan rashoda za unos u SAP'!$J$3:$J$501,'Plan rashoda za unos u SAP'!$C$3:$C$501,"=575",'Plan rashoda za unos u SAP'!$N$3:$N$501,"=38")+SUMIFS('ANALITIKA EU PROJEKATA'!$H$3:$H$498,'ANALITIKA EU PROJEKATA'!$A$3:$A$498,"=575",'ANALITIKA EU PROJEKATA'!$Q$3:$Q$498,"=38")</f>
        <v>0</v>
      </c>
      <c r="R79" s="138">
        <f>SUMIFS('Plan rashoda za unos u SAP'!$J$3:$J$501,'Plan rashoda za unos u SAP'!$C$3:$C$501,"=576",'Plan rashoda za unos u SAP'!$N$3:$N$501,"=38")+SUMIFS('ANALITIKA EU PROJEKATA'!$H$3:$H$498,'ANALITIKA EU PROJEKATA'!$A$3:$A$498,"=576",'ANALITIKA EU PROJEKATA'!$Q$3:$Q$498,"=38")</f>
        <v>0</v>
      </c>
      <c r="S79" s="138">
        <f>SUMIFS('Plan rashoda za unos u SAP'!$J$3:$J$501,'Plan rashoda za unos u SAP'!$C$3:$C$501,"=581",'Plan rashoda za unos u SAP'!$N$3:$N$501,"=38")+SUMIFS('ANALITIKA EU PROJEKATA'!$H$3:$H$498,'ANALITIKA EU PROJEKATA'!$A$3:$A$498,"=581",'ANALITIKA EU PROJEKATA'!$Q$3:$Q$498,"=38")</f>
        <v>0</v>
      </c>
      <c r="T79" s="138">
        <f>SUMIFS('Plan rashoda za unos u SAP'!$J$3:$J$501,'Plan rashoda za unos u SAP'!$C$3:$C$501,"=61",'Plan rashoda za unos u SAP'!$N$3:$N$501,"=38")+SUMIFS('ANALITIKA EU PROJEKATA'!$H$3:$H$498,'ANALITIKA EU PROJEKATA'!$A$3:$A$498,"=61",'ANALITIKA EU PROJEKATA'!$Q$3:$Q$498,"=38")</f>
        <v>0</v>
      </c>
      <c r="U79" s="138">
        <f>SUMIFS('Plan rashoda za unos u SAP'!$J$3:$J$501,'Plan rashoda za unos u SAP'!$C$3:$C$501,"=63",'Plan rashoda za unos u SAP'!$N$3:$N$501,"=38")+SUMIFS('ANALITIKA EU PROJEKATA'!$H$3:$H$498,'ANALITIKA EU PROJEKATA'!$A$3:$A$498,"=63",'ANALITIKA EU PROJEKATA'!$Q$3:$Q$498,"=38")</f>
        <v>0</v>
      </c>
      <c r="V79" s="138">
        <f>SUMIFS('Plan rashoda za unos u SAP'!$J$3:$J$501,'Plan rashoda za unos u SAP'!$C$3:$C$501,"=71",'Plan rashoda za unos u SAP'!$N$3:$N$501,"=38")+SUMIFS('ANALITIKA EU PROJEKATA'!$H$3:$H$498,'ANALITIKA EU PROJEKATA'!$A$3:$A$498,"=71",'ANALITIKA EU PROJEKATA'!$Q$3:$Q$498,"=38")</f>
        <v>0</v>
      </c>
      <c r="W79" s="138">
        <f>SUMIFS('Plan rashoda za unos u SAP'!$J$3:$J$501,'Plan rashoda za unos u SAP'!$C$3:$C$501,"=81",'Plan rashoda za unos u SAP'!$N$3:$N$501,"=38")+SUMIFS('ANALITIKA EU PROJEKATA'!$H$3:$H$498,'ANALITIKA EU PROJEKATA'!$A$3:$A$498,"=81",'ANALITIKA EU PROJEKATA'!$Q$3:$Q$498,"=38")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261800</v>
      </c>
      <c r="E80" s="131">
        <f t="shared" ref="E80:W80" si="25">SUM(E81:E85)</f>
        <v>195000</v>
      </c>
      <c r="F80" s="131">
        <f t="shared" si="25"/>
        <v>0</v>
      </c>
      <c r="G80" s="131">
        <f t="shared" si="25"/>
        <v>39300</v>
      </c>
      <c r="H80" s="131">
        <f>SUM(H81:H85)</f>
        <v>0</v>
      </c>
      <c r="I80" s="131">
        <f t="shared" si="25"/>
        <v>12500</v>
      </c>
      <c r="J80" s="131">
        <f t="shared" si="25"/>
        <v>0</v>
      </c>
      <c r="K80" s="131">
        <f t="shared" si="25"/>
        <v>15000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10300</v>
      </c>
      <c r="E81" s="138">
        <f>SUMIFS('Plan rashoda za unos u SAP'!$J$3:$J$501,'Plan rashoda za unos u SAP'!$C$3:$C$501,"=11",'Plan rashoda za unos u SAP'!$N$3:$N$501,"=41")+SUMIFS('ANALITIKA EU PROJEKATA'!$H$3:$H$498,'ANALITIKA EU PROJEKATA'!$A$3:$A$498,"=11",'ANALITIKA EU PROJEKATA'!$Q$3:$Q$498,"=41")</f>
        <v>0</v>
      </c>
      <c r="F81" s="138">
        <f>SUMIFS('Plan rashoda za unos u SAP'!$J$3:$J$501,'Plan rashoda za unos u SAP'!$C$3:$C$501,"=12",'Plan rashoda za unos u SAP'!$N$3:$N$501,"=41")+SUMIFS('ANALITIKA EU PROJEKATA'!$H$3:$H$498,'ANALITIKA EU PROJEKATA'!$A$3:$A$498,"=12",'ANALITIKA EU PROJEKATA'!$Q$3:$Q$498,"=41")</f>
        <v>0</v>
      </c>
      <c r="G81" s="138">
        <f>SUMIFS('Plan rashoda za unos u SAP'!$J$3:$J$501,'Plan rashoda za unos u SAP'!$C$3:$C$501,"=31",'Plan rashoda za unos u SAP'!$N$3:$N$501,"=41")+SUMIFS('ANALITIKA EU PROJEKATA'!$H$3:$H$498,'ANALITIKA EU PROJEKATA'!$A$3:$A$498,"=31",'ANALITIKA EU PROJEKATA'!$Q$3:$Q$498,"=41")</f>
        <v>2800</v>
      </c>
      <c r="H81" s="138">
        <f>SUMIFS('Plan rashoda za unos u SAP'!$J$3:$J$501,'Plan rashoda za unos u SAP'!$C$3:$C$501,"=41",'Plan rashoda za unos u SAP'!$N$3:$N$501,"=41")+SUMIFS('ANALITIKA EU PROJEKATA'!$H$3:$H$498,'ANALITIKA EU PROJEKATA'!$A$3:$A$498,"=41",'ANALITIKA EU PROJEKATA'!$Q$3:$Q$498,"=41")</f>
        <v>0</v>
      </c>
      <c r="I81" s="138">
        <f>SUMIFS('Plan rashoda za unos u SAP'!$J$3:$J$501,'Plan rashoda za unos u SAP'!$C$3:$C$501,"=43",'Plan rashoda za unos u SAP'!$N$3:$N$501,"=41")+SUMIFS('ANALITIKA EU PROJEKATA'!$H$3:$H$498,'ANALITIKA EU PROJEKATA'!$A$3:$A$498,"=43",'ANALITIKA EU PROJEKATA'!$Q$3:$Q$498,"=41")</f>
        <v>7500</v>
      </c>
      <c r="J81" s="138">
        <f>SUMIFS('Plan rashoda za unos u SAP'!$J$3:$J$501,'Plan rashoda za unos u SAP'!$C$3:$C$501,"=51",'Plan rashoda za unos u SAP'!$N$3:$N$501,"=41")+SUMIFS('ANALITIKA EU PROJEKATA'!$H$3:$H$498,'ANALITIKA EU PROJEKATA'!$A$3:$A$498,"=51",'ANALITIKA EU PROJEKATA'!$Q$3:$Q$498,"=41")</f>
        <v>0</v>
      </c>
      <c r="K81" s="138">
        <f>SUMIFS('Plan rashoda za unos u SAP'!$J$3:$J$501,'Plan rashoda za unos u SAP'!$C$3:$C$501,"=52",'Plan rashoda za unos u SAP'!$N$3:$N$501,"=41")+SUMIFS('ANALITIKA EU PROJEKATA'!$H$3:$H$498,'ANALITIKA EU PROJEKATA'!$A$3:$A$498,"=52",'ANALITIKA EU PROJEKATA'!$Q$3:$Q$498,"=41")</f>
        <v>0</v>
      </c>
      <c r="L81" s="138">
        <f>SUMIFS('Plan rashoda za unos u SAP'!$J$3:$J$501,'Plan rashoda za unos u SAP'!$C$3:$C$501,"=552",'Plan rashoda za unos u SAP'!$N$3:$N$501,"=41")+SUMIFS('ANALITIKA EU PROJEKATA'!$H$3:$H$498,'ANALITIKA EU PROJEKATA'!$A$3:$A$498,"=552",'ANALITIKA EU PROJEKATA'!$Q$3:$Q$498,"=41")</f>
        <v>0</v>
      </c>
      <c r="M81" s="138">
        <f>SUMIFS('Plan rashoda za unos u SAP'!$J$3:$J$501,'Plan rashoda za unos u SAP'!$C$3:$C$501,"=559",'Plan rashoda za unos u SAP'!$N$3:$N$501,"=41")+SUMIFS('ANALITIKA EU PROJEKATA'!$H$3:$H$498,'ANALITIKA EU PROJEKATA'!$A$3:$A$498,"=559",'ANALITIKA EU PROJEKATA'!$Q$3:$Q$498,"=41")</f>
        <v>0</v>
      </c>
      <c r="N81" s="138">
        <f>SUMIFS('Plan rashoda za unos u SAP'!$J$3:$J$501,'Plan rashoda za unos u SAP'!$C$3:$C$501,"=561",'Plan rashoda za unos u SAP'!$N$3:$N$501,"=41")+SUMIFS('ANALITIKA EU PROJEKATA'!$H$3:$H$498,'ANALITIKA EU PROJEKATA'!$A$3:$A$498,"=561",'ANALITIKA EU PROJEKATA'!$Q$3:$Q$498,"=41")</f>
        <v>0</v>
      </c>
      <c r="O81" s="138">
        <f>SUMIFS('Plan rashoda za unos u SAP'!$J$3:$J$501,'Plan rashoda za unos u SAP'!$C$3:$C$501,"=563",'Plan rashoda za unos u SAP'!$N$3:$N$501,"=41")+SUMIFS('ANALITIKA EU PROJEKATA'!$H$3:$H$498,'ANALITIKA EU PROJEKATA'!$A$3:$A$498,"=563",'ANALITIKA EU PROJEKATA'!$Q$3:$Q$498,"=41")</f>
        <v>0</v>
      </c>
      <c r="P81" s="138">
        <f>SUMIFS('Plan rashoda za unos u SAP'!$J$3:$J$501,'Plan rashoda za unos u SAP'!$C$3:$C$501,"=573",'Plan rashoda za unos u SAP'!$N$3:$N$501,"=41")+SUMIFS('ANALITIKA EU PROJEKATA'!$H$3:$H$498,'ANALITIKA EU PROJEKATA'!$A$3:$A$498,"=573",'ANALITIKA EU PROJEKATA'!$Q$3:$Q$498,"=41")</f>
        <v>0</v>
      </c>
      <c r="Q81" s="138">
        <f>SUMIFS('Plan rashoda za unos u SAP'!$J$3:$J$501,'Plan rashoda za unos u SAP'!$C$3:$C$501,"=575",'Plan rashoda za unos u SAP'!$N$3:$N$501,"=41")+SUMIFS('ANALITIKA EU PROJEKATA'!$H$3:$H$498,'ANALITIKA EU PROJEKATA'!$A$3:$A$498,"=575",'ANALITIKA EU PROJEKATA'!$Q$3:$Q$498,"=41")</f>
        <v>0</v>
      </c>
      <c r="R81" s="138">
        <f>SUMIFS('Plan rashoda za unos u SAP'!$J$3:$J$501,'Plan rashoda za unos u SAP'!$C$3:$C$501,"=576",'Plan rashoda za unos u SAP'!$N$3:$N$501,"=41")+SUMIFS('ANALITIKA EU PROJEKATA'!$H$3:$H$498,'ANALITIKA EU PROJEKATA'!$A$3:$A$498,"=576",'ANALITIKA EU PROJEKATA'!$Q$3:$Q$498,"=41")</f>
        <v>0</v>
      </c>
      <c r="S81" s="138">
        <f>SUMIFS('Plan rashoda za unos u SAP'!$J$3:$J$501,'Plan rashoda za unos u SAP'!$C$3:$C$501,"=581",'Plan rashoda za unos u SAP'!$N$3:$N$501,"=41")+SUMIFS('ANALITIKA EU PROJEKATA'!$H$3:$H$498,'ANALITIKA EU PROJEKATA'!$A$3:$A$498,"=581",'ANALITIKA EU PROJEKATA'!$Q$3:$Q$498,"=41")</f>
        <v>0</v>
      </c>
      <c r="T81" s="138">
        <f>SUMIFS('Plan rashoda za unos u SAP'!$J$3:$J$501,'Plan rashoda za unos u SAP'!$C$3:$C$501,"=61",'Plan rashoda za unos u SAP'!$N$3:$N$501,"=41")+SUMIFS('ANALITIKA EU PROJEKATA'!$H$3:$H$498,'ANALITIKA EU PROJEKATA'!$A$3:$A$498,"=61",'ANALITIKA EU PROJEKATA'!$Q$3:$Q$498,"=41")</f>
        <v>0</v>
      </c>
      <c r="U81" s="138">
        <f>SUMIFS('Plan rashoda za unos u SAP'!$J$3:$J$501,'Plan rashoda za unos u SAP'!$C$3:$C$501,"=63",'Plan rashoda za unos u SAP'!$N$3:$N$501,"=41")+SUMIFS('ANALITIKA EU PROJEKATA'!$H$3:$H$498,'ANALITIKA EU PROJEKATA'!$A$3:$A$498,"=63",'ANALITIKA EU PROJEKATA'!$Q$3:$Q$498,"=41")</f>
        <v>0</v>
      </c>
      <c r="V81" s="138">
        <f>SUMIFS('Plan rashoda za unos u SAP'!$J$3:$J$501,'Plan rashoda za unos u SAP'!$C$3:$C$501,"=71",'Plan rashoda za unos u SAP'!$N$3:$N$501,"=41")+SUMIFS('ANALITIKA EU PROJEKATA'!$H$3:$H$498,'ANALITIKA EU PROJEKATA'!$A$3:$A$498,"=71",'ANALITIKA EU PROJEKATA'!$Q$3:$Q$498,"=41")</f>
        <v>0</v>
      </c>
      <c r="W81" s="138">
        <f>SUMIFS('Plan rashoda za unos u SAP'!$J$3:$J$501,'Plan rashoda za unos u SAP'!$C$3:$C$501,"=81",'Plan rashoda za unos u SAP'!$N$3:$N$501,"=41")+SUMIFS('ANALITIKA EU PROJEKATA'!$H$3:$H$498,'ANALITIKA EU PROJEKATA'!$A$3:$A$498,"=81",'ANALITIKA EU PROJEKATA'!$Q$3:$Q$498,"=41")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251500</v>
      </c>
      <c r="E82" s="138">
        <f>SUMIFS('Plan rashoda za unos u SAP'!$J$3:$J$501,'Plan rashoda za unos u SAP'!$C$3:$C$501,"=11",'Plan rashoda za unos u SAP'!$N$3:$N$501,"=42")+SUMIFS('ANALITIKA EU PROJEKATA'!$H$3:$H$498,'ANALITIKA EU PROJEKATA'!$A$3:$A$498,"=11",'ANALITIKA EU PROJEKATA'!$Q$3:$Q$498,"=42")</f>
        <v>195000</v>
      </c>
      <c r="F82" s="138">
        <f>SUMIFS('Plan rashoda za unos u SAP'!$J$3:$J$501,'Plan rashoda za unos u SAP'!$C$3:$C$501,"=12",'Plan rashoda za unos u SAP'!$N$3:$N$501,"=42")+SUMIFS('ANALITIKA EU PROJEKATA'!$H$3:$H$498,'ANALITIKA EU PROJEKATA'!$A$3:$A$498,"=12",'ANALITIKA EU PROJEKATA'!$Q$3:$Q$498,"=42")</f>
        <v>0</v>
      </c>
      <c r="G82" s="138">
        <f>SUMIFS('Plan rashoda za unos u SAP'!$J$3:$J$501,'Plan rashoda za unos u SAP'!$C$3:$C$501,"=31",'Plan rashoda za unos u SAP'!$N$3:$N$501,"=42")+SUMIFS('ANALITIKA EU PROJEKATA'!$H$3:$H$498,'ANALITIKA EU PROJEKATA'!$A$3:$A$498,"=31",'ANALITIKA EU PROJEKATA'!$Q$3:$Q$498,"=42")</f>
        <v>36500</v>
      </c>
      <c r="H82" s="138">
        <f>SUMIFS('Plan rashoda za unos u SAP'!$J$3:$J$501,'Plan rashoda za unos u SAP'!$C$3:$C$501,"=41",'Plan rashoda za unos u SAP'!$N$3:$N$501,"=42")+SUMIFS('ANALITIKA EU PROJEKATA'!$H$3:$H$498,'ANALITIKA EU PROJEKATA'!$A$3:$A$498,"=41",'ANALITIKA EU PROJEKATA'!$Q$3:$Q$498,"=42")</f>
        <v>0</v>
      </c>
      <c r="I82" s="138">
        <f>SUMIFS('Plan rashoda za unos u SAP'!$J$3:$J$501,'Plan rashoda za unos u SAP'!$C$3:$C$501,"=43",'Plan rashoda za unos u SAP'!$N$3:$N$501,"=42")+SUMIFS('ANALITIKA EU PROJEKATA'!$H$3:$H$498,'ANALITIKA EU PROJEKATA'!$A$3:$A$498,"=43",'ANALITIKA EU PROJEKATA'!$Q$3:$Q$498,"=42")</f>
        <v>5000</v>
      </c>
      <c r="J82" s="138">
        <f>SUMIFS('Plan rashoda za unos u SAP'!$J$3:$J$501,'Plan rashoda za unos u SAP'!$C$3:$C$501,"=51",'Plan rashoda za unos u SAP'!$N$3:$N$501,"=42")+SUMIFS('ANALITIKA EU PROJEKATA'!$H$3:$H$498,'ANALITIKA EU PROJEKATA'!$A$3:$A$498,"=51",'ANALITIKA EU PROJEKATA'!$Q$3:$Q$498,"=42")</f>
        <v>0</v>
      </c>
      <c r="K82" s="138">
        <f>SUMIFS('Plan rashoda za unos u SAP'!$J$3:$J$501,'Plan rashoda za unos u SAP'!$C$3:$C$501,"=52",'Plan rashoda za unos u SAP'!$N$3:$N$501,"=42")+SUMIFS('ANALITIKA EU PROJEKATA'!$H$3:$H$498,'ANALITIKA EU PROJEKATA'!$A$3:$A$498,"=52",'ANALITIKA EU PROJEKATA'!$Q$3:$Q$498,"=42")</f>
        <v>15000</v>
      </c>
      <c r="L82" s="138">
        <f>SUMIFS('Plan rashoda za unos u SAP'!$J$3:$J$501,'Plan rashoda za unos u SAP'!$C$3:$C$501,"=552",'Plan rashoda za unos u SAP'!$N$3:$N$501,"=42")+SUMIFS('ANALITIKA EU PROJEKATA'!$H$3:$H$498,'ANALITIKA EU PROJEKATA'!$A$3:$A$498,"=552",'ANALITIKA EU PROJEKATA'!$Q$3:$Q$498,"=42")</f>
        <v>0</v>
      </c>
      <c r="M82" s="138">
        <f>SUMIFS('Plan rashoda za unos u SAP'!$J$3:$J$501,'Plan rashoda za unos u SAP'!$C$3:$C$501,"=559",'Plan rashoda za unos u SAP'!$N$3:$N$501,"=42")+SUMIFS('ANALITIKA EU PROJEKATA'!$H$3:$H$498,'ANALITIKA EU PROJEKATA'!$A$3:$A$498,"=559",'ANALITIKA EU PROJEKATA'!$Q$3:$Q$498,"=42")</f>
        <v>0</v>
      </c>
      <c r="N82" s="138">
        <f>SUMIFS('Plan rashoda za unos u SAP'!$J$3:$J$501,'Plan rashoda za unos u SAP'!$C$3:$C$501,"=561",'Plan rashoda za unos u SAP'!$N$3:$N$501,"=42")+SUMIFS('ANALITIKA EU PROJEKATA'!$H$3:$H$498,'ANALITIKA EU PROJEKATA'!$A$3:$A$498,"=561",'ANALITIKA EU PROJEKATA'!$Q$3:$Q$498,"=42")</f>
        <v>0</v>
      </c>
      <c r="O82" s="138">
        <f>SUMIFS('Plan rashoda za unos u SAP'!$J$3:$J$501,'Plan rashoda za unos u SAP'!$C$3:$C$501,"=563",'Plan rashoda za unos u SAP'!$N$3:$N$501,"=42")+SUMIFS('ANALITIKA EU PROJEKATA'!$H$3:$H$498,'ANALITIKA EU PROJEKATA'!$A$3:$A$498,"=563",'ANALITIKA EU PROJEKATA'!$Q$3:$Q$498,"=42")</f>
        <v>0</v>
      </c>
      <c r="P82" s="138">
        <f>SUMIFS('Plan rashoda za unos u SAP'!$J$3:$J$501,'Plan rashoda za unos u SAP'!$C$3:$C$501,"=573",'Plan rashoda za unos u SAP'!$N$3:$N$501,"=42")+SUMIFS('ANALITIKA EU PROJEKATA'!$H$3:$H$498,'ANALITIKA EU PROJEKATA'!$A$3:$A$498,"=573",'ANALITIKA EU PROJEKATA'!$Q$3:$Q$498,"=42")</f>
        <v>0</v>
      </c>
      <c r="Q82" s="138">
        <f>SUMIFS('Plan rashoda za unos u SAP'!$J$3:$J$501,'Plan rashoda za unos u SAP'!$C$3:$C$501,"=575",'Plan rashoda za unos u SAP'!$N$3:$N$501,"=42")+SUMIFS('ANALITIKA EU PROJEKATA'!$H$3:$H$498,'ANALITIKA EU PROJEKATA'!$A$3:$A$498,"=575",'ANALITIKA EU PROJEKATA'!$Q$3:$Q$498,"=42")</f>
        <v>0</v>
      </c>
      <c r="R82" s="138">
        <f>SUMIFS('Plan rashoda za unos u SAP'!$J$3:$J$501,'Plan rashoda za unos u SAP'!$C$3:$C$501,"=576",'Plan rashoda za unos u SAP'!$N$3:$N$501,"=42")+SUMIFS('ANALITIKA EU PROJEKATA'!$H$3:$H$498,'ANALITIKA EU PROJEKATA'!$A$3:$A$498,"=576",'ANALITIKA EU PROJEKATA'!$Q$3:$Q$498,"=42")</f>
        <v>0</v>
      </c>
      <c r="S82" s="138">
        <f>SUMIFS('Plan rashoda za unos u SAP'!$J$3:$J$501,'Plan rashoda za unos u SAP'!$C$3:$C$501,"=581",'Plan rashoda za unos u SAP'!$N$3:$N$501,"=42")+SUMIFS('ANALITIKA EU PROJEKATA'!$H$3:$H$498,'ANALITIKA EU PROJEKATA'!$A$3:$A$498,"=581",'ANALITIKA EU PROJEKATA'!$Q$3:$Q$498,"=42")</f>
        <v>0</v>
      </c>
      <c r="T82" s="138">
        <f>SUMIFS('Plan rashoda za unos u SAP'!$J$3:$J$501,'Plan rashoda za unos u SAP'!$C$3:$C$501,"=61",'Plan rashoda za unos u SAP'!$N$3:$N$501,"=42")+SUMIFS('ANALITIKA EU PROJEKATA'!$H$3:$H$498,'ANALITIKA EU PROJEKATA'!$A$3:$A$498,"=61",'ANALITIKA EU PROJEKATA'!$Q$3:$Q$498,"=42")</f>
        <v>0</v>
      </c>
      <c r="U82" s="138">
        <f>SUMIFS('Plan rashoda za unos u SAP'!$J$3:$J$501,'Plan rashoda za unos u SAP'!$C$3:$C$501,"=63",'Plan rashoda za unos u SAP'!$N$3:$N$501,"=42")+SUMIFS('ANALITIKA EU PROJEKATA'!$H$3:$H$498,'ANALITIKA EU PROJEKATA'!$A$3:$A$498,"=63",'ANALITIKA EU PROJEKATA'!$Q$3:$Q$498,"=42")</f>
        <v>0</v>
      </c>
      <c r="V82" s="138">
        <f>SUMIFS('Plan rashoda za unos u SAP'!$J$3:$J$501,'Plan rashoda za unos u SAP'!$C$3:$C$501,"=71",'Plan rashoda za unos u SAP'!$N$3:$N$501,"=42")+SUMIFS('ANALITIKA EU PROJEKATA'!$H$3:$H$498,'ANALITIKA EU PROJEKATA'!$A$3:$A$498,"=71",'ANALITIKA EU PROJEKATA'!$Q$3:$Q$498,"=42")</f>
        <v>0</v>
      </c>
      <c r="W82" s="138">
        <f>SUMIFS('Plan rashoda za unos u SAP'!$J$3:$J$501,'Plan rashoda za unos u SAP'!$C$3:$C$501,"=81",'Plan rashoda za unos u SAP'!$N$3:$N$501,"=42")+SUMIFS('ANALITIKA EU PROJEKATA'!$H$3:$H$498,'ANALITIKA EU PROJEKATA'!$A$3:$A$498,"=81",'ANALITIKA EU PROJEKATA'!$Q$3:$Q$498,"=42")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PROJEKATA'!$H$3:$H$498,'ANALITIKA EU PROJEKATA'!$A$3:$A$498,"=11",'ANALITIKA EU PROJEKATA'!$Q$3:$Q$498,"=43")</f>
        <v>0</v>
      </c>
      <c r="F83" s="138">
        <f>SUMIFS('Plan rashoda za unos u SAP'!$J$3:$J$501,'Plan rashoda za unos u SAP'!$C$3:$C$501,"=12",'Plan rashoda za unos u SAP'!$N$3:$N$501,"=43")+SUMIFS('ANALITIKA EU PROJEKATA'!$H$3:$H$498,'ANALITIKA EU PROJEKATA'!$A$3:$A$498,"=12",'ANALITIKA EU PROJEKATA'!$Q$3:$Q$498,"=43")</f>
        <v>0</v>
      </c>
      <c r="G83" s="138">
        <f>SUMIFS('Plan rashoda za unos u SAP'!$J$3:$J$501,'Plan rashoda za unos u SAP'!$C$3:$C$501,"=31",'Plan rashoda za unos u SAP'!$N$3:$N$501,"=43")+SUMIFS('ANALITIKA EU PROJEKATA'!$H$3:$H$498,'ANALITIKA EU PROJEKATA'!$A$3:$A$498,"=31",'ANALITIKA EU PROJEKATA'!$Q$3:$Q$498,"=43")</f>
        <v>0</v>
      </c>
      <c r="H83" s="138">
        <f>SUMIFS('Plan rashoda za unos u SAP'!$J$3:$J$501,'Plan rashoda za unos u SAP'!$C$3:$C$501,"=41",'Plan rashoda za unos u SAP'!$N$3:$N$501,"=43")+SUMIFS('ANALITIKA EU PROJEKATA'!$H$3:$H$498,'ANALITIKA EU PROJEKATA'!$A$3:$A$498,"=41",'ANALITIKA EU PROJEKATA'!$Q$3:$Q$498,"=43")</f>
        <v>0</v>
      </c>
      <c r="I83" s="138">
        <f>SUMIFS('Plan rashoda za unos u SAP'!$J$3:$J$501,'Plan rashoda za unos u SAP'!$C$3:$C$501,"=43",'Plan rashoda za unos u SAP'!$N$3:$N$501,"=43")+SUMIFS('ANALITIKA EU PROJEKATA'!$H$3:$H$498,'ANALITIKA EU PROJEKATA'!$A$3:$A$498,"=43",'ANALITIKA EU PROJEKATA'!$Q$3:$Q$498,"=43")</f>
        <v>0</v>
      </c>
      <c r="J83" s="138">
        <f>SUMIFS('Plan rashoda za unos u SAP'!$J$3:$J$501,'Plan rashoda za unos u SAP'!$C$3:$C$501,"=51",'Plan rashoda za unos u SAP'!$N$3:$N$501,"=43")+SUMIFS('ANALITIKA EU PROJEKATA'!$H$3:$H$498,'ANALITIKA EU PROJEKATA'!$A$3:$A$498,"=51",'ANALITIKA EU PROJEKATA'!$Q$3:$Q$498,"=43")</f>
        <v>0</v>
      </c>
      <c r="K83" s="138">
        <f>SUMIFS('Plan rashoda za unos u SAP'!$J$3:$J$501,'Plan rashoda za unos u SAP'!$C$3:$C$501,"=52",'Plan rashoda za unos u SAP'!$N$3:$N$501,"=43")+SUMIFS('ANALITIKA EU PROJEKATA'!$H$3:$H$498,'ANALITIKA EU PROJEKATA'!$A$3:$A$498,"=52",'ANALITIKA EU PROJEKATA'!$Q$3:$Q$498,"=43")</f>
        <v>0</v>
      </c>
      <c r="L83" s="138">
        <f>SUMIFS('Plan rashoda za unos u SAP'!$J$3:$J$501,'Plan rashoda za unos u SAP'!$C$3:$C$501,"=552",'Plan rashoda za unos u SAP'!$N$3:$N$501,"=43")+SUMIFS('ANALITIKA EU PROJEKATA'!$H$3:$H$498,'ANALITIKA EU PROJEKATA'!$A$3:$A$498,"=552",'ANALITIKA EU PROJEKATA'!$Q$3:$Q$498,"=43")</f>
        <v>0</v>
      </c>
      <c r="M83" s="138">
        <f>SUMIFS('Plan rashoda za unos u SAP'!$J$3:$J$501,'Plan rashoda za unos u SAP'!$C$3:$C$501,"=559",'Plan rashoda za unos u SAP'!$N$3:$N$501,"=43")+SUMIFS('ANALITIKA EU PROJEKATA'!$H$3:$H$498,'ANALITIKA EU PROJEKATA'!$A$3:$A$498,"=559",'ANALITIKA EU PROJEKATA'!$Q$3:$Q$498,"=43")</f>
        <v>0</v>
      </c>
      <c r="N83" s="138">
        <f>SUMIFS('Plan rashoda za unos u SAP'!$J$3:$J$501,'Plan rashoda za unos u SAP'!$C$3:$C$501,"=561",'Plan rashoda za unos u SAP'!$N$3:$N$501,"=43")+SUMIFS('ANALITIKA EU PROJEKATA'!$H$3:$H$498,'ANALITIKA EU PROJEKATA'!$A$3:$A$498,"=561",'ANALITIKA EU PROJEKATA'!$Q$3:$Q$498,"=43")</f>
        <v>0</v>
      </c>
      <c r="O83" s="138">
        <f>SUMIFS('Plan rashoda za unos u SAP'!$J$3:$J$501,'Plan rashoda za unos u SAP'!$C$3:$C$501,"=563",'Plan rashoda za unos u SAP'!$N$3:$N$501,"=43")+SUMIFS('ANALITIKA EU PROJEKATA'!$H$3:$H$498,'ANALITIKA EU PROJEKATA'!$A$3:$A$498,"=563",'ANALITIKA EU PROJEKATA'!$Q$3:$Q$498,"=43")</f>
        <v>0</v>
      </c>
      <c r="P83" s="138">
        <f>SUMIFS('Plan rashoda za unos u SAP'!$J$3:$J$501,'Plan rashoda za unos u SAP'!$C$3:$C$501,"=573",'Plan rashoda za unos u SAP'!$N$3:$N$501,"=43")+SUMIFS('ANALITIKA EU PROJEKATA'!$H$3:$H$498,'ANALITIKA EU PROJEKATA'!$A$3:$A$498,"=573",'ANALITIKA EU PROJEKATA'!$Q$3:$Q$498,"=43")</f>
        <v>0</v>
      </c>
      <c r="Q83" s="138">
        <f>SUMIFS('Plan rashoda za unos u SAP'!$J$3:$J$501,'Plan rashoda za unos u SAP'!$C$3:$C$501,"=575",'Plan rashoda za unos u SAP'!$N$3:$N$501,"=43")+SUMIFS('ANALITIKA EU PROJEKATA'!$H$3:$H$498,'ANALITIKA EU PROJEKATA'!$A$3:$A$498,"=575",'ANALITIKA EU PROJEKATA'!$Q$3:$Q$498,"=43")</f>
        <v>0</v>
      </c>
      <c r="R83" s="138">
        <f>SUMIFS('Plan rashoda za unos u SAP'!$J$3:$J$501,'Plan rashoda za unos u SAP'!$C$3:$C$501,"=576",'Plan rashoda za unos u SAP'!$N$3:$N$501,"=43")+SUMIFS('ANALITIKA EU PROJEKATA'!$H$3:$H$498,'ANALITIKA EU PROJEKATA'!$A$3:$A$498,"=576",'ANALITIKA EU PROJEKATA'!$Q$3:$Q$498,"=43")</f>
        <v>0</v>
      </c>
      <c r="S83" s="138">
        <f>SUMIFS('Plan rashoda za unos u SAP'!$J$3:$J$501,'Plan rashoda za unos u SAP'!$C$3:$C$501,"=581",'Plan rashoda za unos u SAP'!$N$3:$N$501,"=43")+SUMIFS('ANALITIKA EU PROJEKATA'!$H$3:$H$498,'ANALITIKA EU PROJEKATA'!$A$3:$A$498,"=581",'ANALITIKA EU PROJEKATA'!$Q$3:$Q$498,"=43")</f>
        <v>0</v>
      </c>
      <c r="T83" s="138">
        <f>SUMIFS('Plan rashoda za unos u SAP'!$J$3:$J$501,'Plan rashoda za unos u SAP'!$C$3:$C$501,"=61",'Plan rashoda za unos u SAP'!$N$3:$N$501,"=43")+SUMIFS('ANALITIKA EU PROJEKATA'!$H$3:$H$498,'ANALITIKA EU PROJEKATA'!$A$3:$A$498,"=61",'ANALITIKA EU PROJEKATA'!$Q$3:$Q$498,"=43")</f>
        <v>0</v>
      </c>
      <c r="U83" s="138">
        <f>SUMIFS('Plan rashoda za unos u SAP'!$J$3:$J$501,'Plan rashoda za unos u SAP'!$C$3:$C$501,"=63",'Plan rashoda za unos u SAP'!$N$3:$N$501,"=43")+SUMIFS('ANALITIKA EU PROJEKATA'!$H$3:$H$498,'ANALITIKA EU PROJEKATA'!$A$3:$A$498,"=63",'ANALITIKA EU PROJEKATA'!$Q$3:$Q$498,"=43")</f>
        <v>0</v>
      </c>
      <c r="V83" s="138">
        <f>SUMIFS('Plan rashoda za unos u SAP'!$J$3:$J$501,'Plan rashoda za unos u SAP'!$C$3:$C$501,"=71",'Plan rashoda za unos u SAP'!$N$3:$N$501,"=43")+SUMIFS('ANALITIKA EU PROJEKATA'!$H$3:$H$498,'ANALITIKA EU PROJEKATA'!$A$3:$A$498,"=71",'ANALITIKA EU PROJEKATA'!$Q$3:$Q$498,"=43")</f>
        <v>0</v>
      </c>
      <c r="W83" s="138">
        <f>SUMIFS('Plan rashoda za unos u SAP'!$J$3:$J$501,'Plan rashoda za unos u SAP'!$C$3:$C$501,"=81",'Plan rashoda za unos u SAP'!$N$3:$N$501,"=43")+SUMIFS('ANALITIKA EU PROJEKATA'!$H$3:$H$498,'ANALITIKA EU PROJEKATA'!$A$3:$A$498,"=81",'ANALITIKA EU PROJEKATA'!$Q$3:$Q$498,"=43")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PROJEKATA'!$H$3:$H$498,'ANALITIKA EU PROJEKATA'!$A$3:$A$498,"=11",'ANALITIKA EU PROJEKATA'!$Q$3:$Q$498,"=44")</f>
        <v>0</v>
      </c>
      <c r="F84" s="138">
        <f>SUMIFS('Plan rashoda za unos u SAP'!$J$3:$J$501,'Plan rashoda za unos u SAP'!$C$3:$C$501,"=12",'Plan rashoda za unos u SAP'!$N$3:$N$501,"=44")+SUMIFS('ANALITIKA EU PROJEKATA'!$H$3:$H$498,'ANALITIKA EU PROJEKATA'!$A$3:$A$498,"=12",'ANALITIKA EU PROJEKATA'!$Q$3:$Q$498,"=44")</f>
        <v>0</v>
      </c>
      <c r="G84" s="138">
        <f>SUMIFS('Plan rashoda za unos u SAP'!$J$3:$J$501,'Plan rashoda za unos u SAP'!$C$3:$C$501,"=31",'Plan rashoda za unos u SAP'!$N$3:$N$501,"=44")+SUMIFS('ANALITIKA EU PROJEKATA'!$H$3:$H$498,'ANALITIKA EU PROJEKATA'!$A$3:$A$498,"=31",'ANALITIKA EU PROJEKATA'!$Q$3:$Q$498,"=44")</f>
        <v>0</v>
      </c>
      <c r="H84" s="138">
        <f>SUMIFS('Plan rashoda za unos u SAP'!$J$3:$J$501,'Plan rashoda za unos u SAP'!$C$3:$C$501,"=41",'Plan rashoda za unos u SAP'!$N$3:$N$501,"=44")+SUMIFS('ANALITIKA EU PROJEKATA'!$H$3:$H$498,'ANALITIKA EU PROJEKATA'!$A$3:$A$498,"=41",'ANALITIKA EU PROJEKATA'!$Q$3:$Q$498,"=44")</f>
        <v>0</v>
      </c>
      <c r="I84" s="138">
        <f>SUMIFS('Plan rashoda za unos u SAP'!$J$3:$J$501,'Plan rashoda za unos u SAP'!$C$3:$C$501,"=43",'Plan rashoda za unos u SAP'!$N$3:$N$501,"=44")+SUMIFS('ANALITIKA EU PROJEKATA'!$H$3:$H$498,'ANALITIKA EU PROJEKATA'!$A$3:$A$498,"=43",'ANALITIKA EU PROJEKATA'!$Q$3:$Q$498,"=44")</f>
        <v>0</v>
      </c>
      <c r="J84" s="138">
        <f>SUMIFS('Plan rashoda za unos u SAP'!$J$3:$J$501,'Plan rashoda za unos u SAP'!$C$3:$C$501,"=51",'Plan rashoda za unos u SAP'!$N$3:$N$501,"=44")+SUMIFS('ANALITIKA EU PROJEKATA'!$H$3:$H$498,'ANALITIKA EU PROJEKATA'!$A$3:$A$498,"=51",'ANALITIKA EU PROJEKATA'!$Q$3:$Q$498,"=44")</f>
        <v>0</v>
      </c>
      <c r="K84" s="138">
        <f>SUMIFS('Plan rashoda za unos u SAP'!$J$3:$J$501,'Plan rashoda za unos u SAP'!$C$3:$C$501,"=52",'Plan rashoda za unos u SAP'!$N$3:$N$501,"=44")+SUMIFS('ANALITIKA EU PROJEKATA'!$H$3:$H$498,'ANALITIKA EU PROJEKATA'!$A$3:$A$498,"=52",'ANALITIKA EU PROJEKATA'!$Q$3:$Q$498,"=44")</f>
        <v>0</v>
      </c>
      <c r="L84" s="138">
        <f>SUMIFS('Plan rashoda za unos u SAP'!$J$3:$J$501,'Plan rashoda za unos u SAP'!$C$3:$C$501,"=552",'Plan rashoda za unos u SAP'!$N$3:$N$501,"=44")+SUMIFS('ANALITIKA EU PROJEKATA'!$H$3:$H$498,'ANALITIKA EU PROJEKATA'!$A$3:$A$498,"=552",'ANALITIKA EU PROJEKATA'!$Q$3:$Q$498,"=44")</f>
        <v>0</v>
      </c>
      <c r="M84" s="138">
        <f>SUMIFS('Plan rashoda za unos u SAP'!$J$3:$J$501,'Plan rashoda za unos u SAP'!$C$3:$C$501,"=559",'Plan rashoda za unos u SAP'!$N$3:$N$501,"=44")+SUMIFS('ANALITIKA EU PROJEKATA'!$H$3:$H$498,'ANALITIKA EU PROJEKATA'!$A$3:$A$498,"=559",'ANALITIKA EU PROJEKATA'!$Q$3:$Q$498,"=44")</f>
        <v>0</v>
      </c>
      <c r="N84" s="138">
        <f>SUMIFS('Plan rashoda za unos u SAP'!$J$3:$J$501,'Plan rashoda za unos u SAP'!$C$3:$C$501,"=561",'Plan rashoda za unos u SAP'!$N$3:$N$501,"=44")+SUMIFS('ANALITIKA EU PROJEKATA'!$H$3:$H$498,'ANALITIKA EU PROJEKATA'!$A$3:$A$498,"=561",'ANALITIKA EU PROJEKATA'!$Q$3:$Q$498,"=44")</f>
        <v>0</v>
      </c>
      <c r="O84" s="138">
        <f>SUMIFS('Plan rashoda za unos u SAP'!$J$3:$J$501,'Plan rashoda za unos u SAP'!$C$3:$C$501,"=563",'Plan rashoda za unos u SAP'!$N$3:$N$501,"=44")+SUMIFS('ANALITIKA EU PROJEKATA'!$H$3:$H$498,'ANALITIKA EU PROJEKATA'!$A$3:$A$498,"=563",'ANALITIKA EU PROJEKATA'!$Q$3:$Q$498,"=44")</f>
        <v>0</v>
      </c>
      <c r="P84" s="138">
        <f>SUMIFS('Plan rashoda za unos u SAP'!$J$3:$J$501,'Plan rashoda za unos u SAP'!$C$3:$C$501,"=573",'Plan rashoda za unos u SAP'!$N$3:$N$501,"=44")+SUMIFS('ANALITIKA EU PROJEKATA'!$H$3:$H$498,'ANALITIKA EU PROJEKATA'!$A$3:$A$498,"=573",'ANALITIKA EU PROJEKATA'!$Q$3:$Q$498,"=44")</f>
        <v>0</v>
      </c>
      <c r="Q84" s="138">
        <f>SUMIFS('Plan rashoda za unos u SAP'!$J$3:$J$501,'Plan rashoda za unos u SAP'!$C$3:$C$501,"=575",'Plan rashoda za unos u SAP'!$N$3:$N$501,"=44")+SUMIFS('ANALITIKA EU PROJEKATA'!$H$3:$H$498,'ANALITIKA EU PROJEKATA'!$A$3:$A$498,"=575",'ANALITIKA EU PROJEKATA'!$Q$3:$Q$498,"=44")</f>
        <v>0</v>
      </c>
      <c r="R84" s="138">
        <f>SUMIFS('Plan rashoda za unos u SAP'!$J$3:$J$501,'Plan rashoda za unos u SAP'!$C$3:$C$501,"=576",'Plan rashoda za unos u SAP'!$N$3:$N$501,"=44")+SUMIFS('ANALITIKA EU PROJEKATA'!$H$3:$H$498,'ANALITIKA EU PROJEKATA'!$A$3:$A$498,"=576",'ANALITIKA EU PROJEKATA'!$Q$3:$Q$498,"=44")</f>
        <v>0</v>
      </c>
      <c r="S84" s="138">
        <f>SUMIFS('Plan rashoda za unos u SAP'!$J$3:$J$501,'Plan rashoda za unos u SAP'!$C$3:$C$501,"=581",'Plan rashoda za unos u SAP'!$N$3:$N$501,"=44")+SUMIFS('ANALITIKA EU PROJEKATA'!$H$3:$H$498,'ANALITIKA EU PROJEKATA'!$A$3:$A$498,"=581",'ANALITIKA EU PROJEKATA'!$Q$3:$Q$498,"=44")</f>
        <v>0</v>
      </c>
      <c r="T84" s="138">
        <f>SUMIFS('Plan rashoda za unos u SAP'!$J$3:$J$501,'Plan rashoda za unos u SAP'!$C$3:$C$501,"=61",'Plan rashoda za unos u SAP'!$N$3:$N$501,"=44")+SUMIFS('ANALITIKA EU PROJEKATA'!$H$3:$H$498,'ANALITIKA EU PROJEKATA'!$A$3:$A$498,"=61",'ANALITIKA EU PROJEKATA'!$Q$3:$Q$498,"=44")</f>
        <v>0</v>
      </c>
      <c r="U84" s="138">
        <f>SUMIFS('Plan rashoda za unos u SAP'!$J$3:$J$501,'Plan rashoda za unos u SAP'!$C$3:$C$501,"=63",'Plan rashoda za unos u SAP'!$N$3:$N$501,"=44")+SUMIFS('ANALITIKA EU PROJEKATA'!$H$3:$H$498,'ANALITIKA EU PROJEKATA'!$A$3:$A$498,"=63",'ANALITIKA EU PROJEKATA'!$Q$3:$Q$498,"=44")</f>
        <v>0</v>
      </c>
      <c r="V84" s="138">
        <f>SUMIFS('Plan rashoda za unos u SAP'!$J$3:$J$501,'Plan rashoda za unos u SAP'!$C$3:$C$501,"=71",'Plan rashoda za unos u SAP'!$N$3:$N$501,"=44")+SUMIFS('ANALITIKA EU PROJEKATA'!$H$3:$H$498,'ANALITIKA EU PROJEKATA'!$A$3:$A$498,"=71",'ANALITIKA EU PROJEKATA'!$Q$3:$Q$498,"=44")</f>
        <v>0</v>
      </c>
      <c r="W84" s="138">
        <f>SUMIFS('Plan rashoda za unos u SAP'!$J$3:$J$501,'Plan rashoda za unos u SAP'!$C$3:$C$501,"=81",'Plan rashoda za unos u SAP'!$N$3:$N$501,"=44")+SUMIFS('ANALITIKA EU PROJEKATA'!$H$3:$H$498,'ANALITIKA EU PROJEKATA'!$A$3:$A$498,"=81",'ANALITIKA EU PROJEKATA'!$Q$3:$Q$498,"=44")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PROJEKATA'!$H$3:$H$498,'ANALITIKA EU PROJEKATA'!$A$3:$A$498,"=11",'ANALITIKA EU PROJEKATA'!$Q$3:$Q$498,"=45")</f>
        <v>0</v>
      </c>
      <c r="F85" s="138">
        <f>SUMIFS('Plan rashoda za unos u SAP'!$J$3:$J$501,'Plan rashoda za unos u SAP'!$C$3:$C$501,"=12",'Plan rashoda za unos u SAP'!$N$3:$N$501,"=45")+SUMIFS('ANALITIKA EU PROJEKATA'!$H$3:$H$498,'ANALITIKA EU PROJEKATA'!$A$3:$A$498,"=12",'ANALITIKA EU PROJEKATA'!$Q$3:$Q$498,"=45")</f>
        <v>0</v>
      </c>
      <c r="G85" s="138">
        <f>SUMIFS('Plan rashoda za unos u SAP'!$J$3:$J$501,'Plan rashoda za unos u SAP'!$C$3:$C$501,"=31",'Plan rashoda za unos u SAP'!$N$3:$N$501,"=45")+SUMIFS('ANALITIKA EU PROJEKATA'!$H$3:$H$498,'ANALITIKA EU PROJEKATA'!$A$3:$A$498,"=31",'ANALITIKA EU PROJEKATA'!$Q$3:$Q$498,"=45")</f>
        <v>0</v>
      </c>
      <c r="H85" s="138">
        <f>SUMIFS('Plan rashoda za unos u SAP'!$J$3:$J$501,'Plan rashoda za unos u SAP'!$C$3:$C$501,"=41",'Plan rashoda za unos u SAP'!$N$3:$N$501,"=45")+SUMIFS('ANALITIKA EU PROJEKATA'!$H$3:$H$498,'ANALITIKA EU PROJEKATA'!$A$3:$A$498,"=41",'ANALITIKA EU PROJEKATA'!$Q$3:$Q$498,"=45")</f>
        <v>0</v>
      </c>
      <c r="I85" s="138">
        <f>SUMIFS('Plan rashoda za unos u SAP'!$J$3:$J$501,'Plan rashoda za unos u SAP'!$C$3:$C$501,"=43",'Plan rashoda za unos u SAP'!$N$3:$N$501,"=45")+SUMIFS('ANALITIKA EU PROJEKATA'!$H$3:$H$498,'ANALITIKA EU PROJEKATA'!$A$3:$A$498,"=43",'ANALITIKA EU PROJEKATA'!$Q$3:$Q$498,"=45")</f>
        <v>0</v>
      </c>
      <c r="J85" s="138">
        <f>SUMIFS('Plan rashoda za unos u SAP'!$J$3:$J$501,'Plan rashoda za unos u SAP'!$C$3:$C$501,"=51",'Plan rashoda za unos u SAP'!$N$3:$N$501,"=45")+SUMIFS('ANALITIKA EU PROJEKATA'!$H$3:$H$498,'ANALITIKA EU PROJEKATA'!$A$3:$A$498,"=51",'ANALITIKA EU PROJEKATA'!$Q$3:$Q$498,"=45")</f>
        <v>0</v>
      </c>
      <c r="K85" s="138">
        <f>SUMIFS('Plan rashoda za unos u SAP'!$J$3:$J$501,'Plan rashoda za unos u SAP'!$C$3:$C$501,"=52",'Plan rashoda za unos u SAP'!$N$3:$N$501,"=45")+SUMIFS('ANALITIKA EU PROJEKATA'!$H$3:$H$498,'ANALITIKA EU PROJEKATA'!$A$3:$A$498,"=52",'ANALITIKA EU PROJEKATA'!$Q$3:$Q$498,"=45")</f>
        <v>0</v>
      </c>
      <c r="L85" s="138">
        <f>SUMIFS('Plan rashoda za unos u SAP'!$J$3:$J$501,'Plan rashoda za unos u SAP'!$C$3:$C$501,"=552",'Plan rashoda za unos u SAP'!$N$3:$N$501,"=45")+SUMIFS('ANALITIKA EU PROJEKATA'!$H$3:$H$498,'ANALITIKA EU PROJEKATA'!$A$3:$A$498,"=552",'ANALITIKA EU PROJEKATA'!$Q$3:$Q$498,"=45")</f>
        <v>0</v>
      </c>
      <c r="M85" s="138">
        <f>SUMIFS('Plan rashoda za unos u SAP'!$J$3:$J$501,'Plan rashoda za unos u SAP'!$C$3:$C$501,"=559",'Plan rashoda za unos u SAP'!$N$3:$N$501,"=45")+SUMIFS('ANALITIKA EU PROJEKATA'!$H$3:$H$498,'ANALITIKA EU PROJEKATA'!$A$3:$A$498,"=559",'ANALITIKA EU PROJEKATA'!$Q$3:$Q$498,"=45")</f>
        <v>0</v>
      </c>
      <c r="N85" s="138">
        <f>SUMIFS('Plan rashoda za unos u SAP'!$J$3:$J$501,'Plan rashoda za unos u SAP'!$C$3:$C$501,"=561",'Plan rashoda za unos u SAP'!$N$3:$N$501,"=45")+SUMIFS('ANALITIKA EU PROJEKATA'!$H$3:$H$498,'ANALITIKA EU PROJEKATA'!$A$3:$A$498,"=561",'ANALITIKA EU PROJEKATA'!$Q$3:$Q$498,"=45")</f>
        <v>0</v>
      </c>
      <c r="O85" s="138">
        <f>SUMIFS('Plan rashoda za unos u SAP'!$J$3:$J$501,'Plan rashoda za unos u SAP'!$C$3:$C$501,"=563",'Plan rashoda za unos u SAP'!$N$3:$N$501,"=45")+SUMIFS('ANALITIKA EU PROJEKATA'!$H$3:$H$498,'ANALITIKA EU PROJEKATA'!$A$3:$A$498,"=563",'ANALITIKA EU PROJEKATA'!$Q$3:$Q$498,"=45")</f>
        <v>0</v>
      </c>
      <c r="P85" s="138">
        <f>SUMIFS('Plan rashoda za unos u SAP'!$J$3:$J$501,'Plan rashoda za unos u SAP'!$C$3:$C$501,"=573",'Plan rashoda za unos u SAP'!$N$3:$N$501,"=45")+SUMIFS('ANALITIKA EU PROJEKATA'!$H$3:$H$498,'ANALITIKA EU PROJEKATA'!$A$3:$A$498,"=573",'ANALITIKA EU PROJEKATA'!$Q$3:$Q$498,"=45")</f>
        <v>0</v>
      </c>
      <c r="Q85" s="138">
        <f>SUMIFS('Plan rashoda za unos u SAP'!$J$3:$J$501,'Plan rashoda za unos u SAP'!$C$3:$C$501,"=575",'Plan rashoda za unos u SAP'!$N$3:$N$501,"=45")+SUMIFS('ANALITIKA EU PROJEKATA'!$H$3:$H$498,'ANALITIKA EU PROJEKATA'!$A$3:$A$498,"=575",'ANALITIKA EU PROJEKATA'!$Q$3:$Q$498,"=45")</f>
        <v>0</v>
      </c>
      <c r="R85" s="138">
        <f>SUMIFS('Plan rashoda za unos u SAP'!$J$3:$J$501,'Plan rashoda za unos u SAP'!$C$3:$C$501,"=576",'Plan rashoda za unos u SAP'!$N$3:$N$501,"=45")+SUMIFS('ANALITIKA EU PROJEKATA'!$H$3:$H$498,'ANALITIKA EU PROJEKATA'!$A$3:$A$498,"=576",'ANALITIKA EU PROJEKATA'!$Q$3:$Q$498,"=45")</f>
        <v>0</v>
      </c>
      <c r="S85" s="138">
        <f>SUMIFS('Plan rashoda za unos u SAP'!$J$3:$J$501,'Plan rashoda za unos u SAP'!$C$3:$C$501,"=581",'Plan rashoda za unos u SAP'!$N$3:$N$501,"=45")+SUMIFS('ANALITIKA EU PROJEKATA'!$H$3:$H$498,'ANALITIKA EU PROJEKATA'!$A$3:$A$498,"=581",'ANALITIKA EU PROJEKATA'!$Q$3:$Q$498,"=45")</f>
        <v>0</v>
      </c>
      <c r="T85" s="138">
        <f>SUMIFS('Plan rashoda za unos u SAP'!$J$3:$J$501,'Plan rashoda za unos u SAP'!$C$3:$C$501,"=61",'Plan rashoda za unos u SAP'!$N$3:$N$501,"=45")+SUMIFS('ANALITIKA EU PROJEKATA'!$H$3:$H$498,'ANALITIKA EU PROJEKATA'!$A$3:$A$498,"=61",'ANALITIKA EU PROJEKATA'!$Q$3:$Q$498,"=45")</f>
        <v>0</v>
      </c>
      <c r="U85" s="138">
        <f>SUMIFS('Plan rashoda za unos u SAP'!$J$3:$J$501,'Plan rashoda za unos u SAP'!$C$3:$C$501,"=63",'Plan rashoda za unos u SAP'!$N$3:$N$501,"=45")+SUMIFS('ANALITIKA EU PROJEKATA'!$H$3:$H$498,'ANALITIKA EU PROJEKATA'!$A$3:$A$498,"=63",'ANALITIKA EU PROJEKATA'!$Q$3:$Q$498,"=45")</f>
        <v>0</v>
      </c>
      <c r="V85" s="138">
        <f>SUMIFS('Plan rashoda za unos u SAP'!$J$3:$J$501,'Plan rashoda za unos u SAP'!$C$3:$C$501,"=71",'Plan rashoda za unos u SAP'!$N$3:$N$501,"=45")+SUMIFS('ANALITIKA EU PROJEKATA'!$H$3:$H$498,'ANALITIKA EU PROJEKATA'!$A$3:$A$498,"=71",'ANALITIKA EU PROJEKATA'!$Q$3:$Q$498,"=45")</f>
        <v>0</v>
      </c>
      <c r="W85" s="138">
        <f>SUMIFS('Plan rashoda za unos u SAP'!$J$3:$J$501,'Plan rashoda za unos u SAP'!$C$3:$C$501,"=81",'Plan rashoda za unos u SAP'!$N$3:$N$501,"=45")+SUMIFS('ANALITIKA EU PROJEKATA'!$H$3:$H$498,'ANALITIKA EU PROJEKATA'!$A$3:$A$498,"=81",'ANALITIKA EU PROJEKATA'!$Q$3:$Q$498,"=45")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PROJEKATA'!$H$3:$H$498,'ANALITIKA EU PROJEKATA'!$A$3:$A$498,"=11",'ANALITIKA EU PROJEKATA'!$Q$3:$Q$498,"=51")</f>
        <v>0</v>
      </c>
      <c r="F87" s="138">
        <f>SUMIFS('Plan rashoda za unos u SAP'!$J$3:$J$501,'Plan rashoda za unos u SAP'!$C$3:$C$501,"=12",'Plan rashoda za unos u SAP'!$N$3:$N$501,"=51")+SUMIFS('ANALITIKA EU PROJEKATA'!$H$3:$H$498,'ANALITIKA EU PROJEKATA'!$A$3:$A$498,"=12",'ANALITIKA EU PROJEKATA'!$Q$3:$Q$498,"=51")</f>
        <v>0</v>
      </c>
      <c r="G87" s="138">
        <f>SUMIFS('Plan rashoda za unos u SAP'!$J$3:$J$501,'Plan rashoda za unos u SAP'!$C$3:$C$501,"=31",'Plan rashoda za unos u SAP'!$N$3:$N$501,"=51")+SUMIFS('ANALITIKA EU PROJEKATA'!$H$3:$H$498,'ANALITIKA EU PROJEKATA'!$A$3:$A$498,"=31",'ANALITIKA EU PROJEKATA'!$Q$3:$Q$498,"=51")</f>
        <v>0</v>
      </c>
      <c r="H87" s="138">
        <f>SUMIFS('Plan rashoda za unos u SAP'!$J$3:$J$501,'Plan rashoda za unos u SAP'!$C$3:$C$501,"=41",'Plan rashoda za unos u SAP'!$N$3:$N$501,"=51")+SUMIFS('ANALITIKA EU PROJEKATA'!$H$3:$H$498,'ANALITIKA EU PROJEKATA'!$A$3:$A$498,"=41",'ANALITIKA EU PROJEKATA'!$Q$3:$Q$498,"=51")</f>
        <v>0</v>
      </c>
      <c r="I87" s="138">
        <f>SUMIFS('Plan rashoda za unos u SAP'!$J$3:$J$501,'Plan rashoda za unos u SAP'!$C$3:$C$501,"=43",'Plan rashoda za unos u SAP'!$N$3:$N$501,"=51")+SUMIFS('ANALITIKA EU PROJEKATA'!$H$3:$H$498,'ANALITIKA EU PROJEKATA'!$A$3:$A$498,"=43",'ANALITIKA EU PROJEKATA'!$Q$3:$Q$498,"=51")</f>
        <v>0</v>
      </c>
      <c r="J87" s="138">
        <f>SUMIFS('Plan rashoda za unos u SAP'!$J$3:$J$501,'Plan rashoda za unos u SAP'!$C$3:$C$501,"=51",'Plan rashoda za unos u SAP'!$N$3:$N$501,"=51")+SUMIFS('ANALITIKA EU PROJEKATA'!$H$3:$H$498,'ANALITIKA EU PROJEKATA'!$A$3:$A$498,"=51",'ANALITIKA EU PROJEKATA'!$Q$3:$Q$498,"=51")</f>
        <v>0</v>
      </c>
      <c r="K87" s="138">
        <f>SUMIFS('Plan rashoda za unos u SAP'!$J$3:$J$501,'Plan rashoda za unos u SAP'!$C$3:$C$501,"=52",'Plan rashoda za unos u SAP'!$N$3:$N$501,"=51")+SUMIFS('ANALITIKA EU PROJEKATA'!$H$3:$H$498,'ANALITIKA EU PROJEKATA'!$A$3:$A$498,"=52",'ANALITIKA EU PROJEKATA'!$Q$3:$Q$498,"=51")</f>
        <v>0</v>
      </c>
      <c r="L87" s="138">
        <f>SUMIFS('Plan rashoda za unos u SAP'!$J$3:$J$501,'Plan rashoda za unos u SAP'!$C$3:$C$501,"=552",'Plan rashoda za unos u SAP'!$N$3:$N$501,"=51")+SUMIFS('ANALITIKA EU PROJEKATA'!$H$3:$H$498,'ANALITIKA EU PROJEKATA'!$A$3:$A$498,"=552",'ANALITIKA EU PROJEKATA'!$Q$3:$Q$498,"=51")</f>
        <v>0</v>
      </c>
      <c r="M87" s="138">
        <f>SUMIFS('Plan rashoda za unos u SAP'!$J$3:$J$501,'Plan rashoda za unos u SAP'!$C$3:$C$501,"=559",'Plan rashoda za unos u SAP'!$N$3:$N$501,"=51")+SUMIFS('ANALITIKA EU PROJEKATA'!$H$3:$H$498,'ANALITIKA EU PROJEKATA'!$A$3:$A$498,"=559",'ANALITIKA EU PROJEKATA'!$Q$3:$Q$498,"=51")</f>
        <v>0</v>
      </c>
      <c r="N87" s="138">
        <f>SUMIFS('Plan rashoda za unos u SAP'!$J$3:$J$501,'Plan rashoda za unos u SAP'!$C$3:$C$501,"=561",'Plan rashoda za unos u SAP'!$N$3:$N$501,"=51")+SUMIFS('ANALITIKA EU PROJEKATA'!$H$3:$H$498,'ANALITIKA EU PROJEKATA'!$A$3:$A$498,"=561",'ANALITIKA EU PROJEKATA'!$Q$3:$Q$498,"=51")</f>
        <v>0</v>
      </c>
      <c r="O87" s="138">
        <f>SUMIFS('Plan rashoda za unos u SAP'!$J$3:$J$501,'Plan rashoda za unos u SAP'!$C$3:$C$501,"=563",'Plan rashoda za unos u SAP'!$N$3:$N$501,"=51")+SUMIFS('ANALITIKA EU PROJEKATA'!$H$3:$H$498,'ANALITIKA EU PROJEKATA'!$A$3:$A$498,"=563",'ANALITIKA EU PROJEKATA'!$Q$3:$Q$498,"=51")</f>
        <v>0</v>
      </c>
      <c r="P87" s="138">
        <f>SUMIFS('Plan rashoda za unos u SAP'!$J$3:$J$501,'Plan rashoda za unos u SAP'!$C$3:$C$501,"=573",'Plan rashoda za unos u SAP'!$N$3:$N$501,"=51")+SUMIFS('ANALITIKA EU PROJEKATA'!$H$3:$H$498,'ANALITIKA EU PROJEKATA'!$A$3:$A$498,"=573",'ANALITIKA EU PROJEKATA'!$Q$3:$Q$498,"=51")</f>
        <v>0</v>
      </c>
      <c r="Q87" s="138">
        <f>SUMIFS('Plan rashoda za unos u SAP'!$J$3:$J$501,'Plan rashoda za unos u SAP'!$C$3:$C$501,"=575",'Plan rashoda za unos u SAP'!$N$3:$N$501,"=51")+SUMIFS('ANALITIKA EU PROJEKATA'!$H$3:$H$498,'ANALITIKA EU PROJEKATA'!$A$3:$A$498,"=575",'ANALITIKA EU PROJEKATA'!$Q$3:$Q$498,"=51")</f>
        <v>0</v>
      </c>
      <c r="R87" s="138">
        <f>SUMIFS('Plan rashoda za unos u SAP'!$J$3:$J$501,'Plan rashoda za unos u SAP'!$C$3:$C$501,"=576",'Plan rashoda za unos u SAP'!$N$3:$N$501,"=51")+SUMIFS('ANALITIKA EU PROJEKATA'!$H$3:$H$498,'ANALITIKA EU PROJEKATA'!$A$3:$A$498,"=576",'ANALITIKA EU PROJEKATA'!$Q$3:$Q$498,"=51")</f>
        <v>0</v>
      </c>
      <c r="S87" s="138">
        <f>SUMIFS('Plan rashoda za unos u SAP'!$J$3:$J$501,'Plan rashoda za unos u SAP'!$C$3:$C$501,"=581",'Plan rashoda za unos u SAP'!$N$3:$N$501,"=51")+SUMIFS('ANALITIKA EU PROJEKATA'!$H$3:$H$498,'ANALITIKA EU PROJEKATA'!$A$3:$A$498,"=581",'ANALITIKA EU PROJEKATA'!$Q$3:$Q$498,"=51")</f>
        <v>0</v>
      </c>
      <c r="T87" s="138">
        <f>SUMIFS('Plan rashoda za unos u SAP'!$J$3:$J$501,'Plan rashoda za unos u SAP'!$C$3:$C$501,"=61",'Plan rashoda za unos u SAP'!$N$3:$N$501,"=51")+SUMIFS('ANALITIKA EU PROJEKATA'!$H$3:$H$498,'ANALITIKA EU PROJEKATA'!$A$3:$A$498,"=61",'ANALITIKA EU PROJEKATA'!$Q$3:$Q$498,"=51")</f>
        <v>0</v>
      </c>
      <c r="U87" s="138">
        <f>SUMIFS('Plan rashoda za unos u SAP'!$J$3:$J$501,'Plan rashoda za unos u SAP'!$C$3:$C$501,"=63",'Plan rashoda za unos u SAP'!$N$3:$N$501,"=51")+SUMIFS('ANALITIKA EU PROJEKATA'!$H$3:$H$498,'ANALITIKA EU PROJEKATA'!$A$3:$A$498,"=63",'ANALITIKA EU PROJEKATA'!$Q$3:$Q$498,"=51")</f>
        <v>0</v>
      </c>
      <c r="V87" s="138">
        <f>SUMIFS('Plan rashoda za unos u SAP'!$J$3:$J$501,'Plan rashoda za unos u SAP'!$C$3:$C$501,"=71",'Plan rashoda za unos u SAP'!$N$3:$N$501,"=51")+SUMIFS('ANALITIKA EU PROJEKATA'!$H$3:$H$498,'ANALITIKA EU PROJEKATA'!$A$3:$A$498,"=71",'ANALITIKA EU PROJEKATA'!$Q$3:$Q$498,"=51")</f>
        <v>0</v>
      </c>
      <c r="W87" s="138">
        <f>SUMIFS('Plan rashoda za unos u SAP'!$J$3:$J$501,'Plan rashoda za unos u SAP'!$C$3:$C$501,"=81",'Plan rashoda za unos u SAP'!$N$3:$N$501,"=51")+SUMIFS('ANALITIKA EU PROJEKATA'!$H$3:$H$498,'ANALITIKA EU PROJEKATA'!$A$3:$A$498,"=81",'ANALITIKA EU PROJEKATA'!$Q$3:$Q$498,"=51")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PROJEKATA'!$H$3:$H$498,'ANALITIKA EU PROJEKATA'!$A$3:$A$498,"=11",'ANALITIKA EU PROJEKATA'!$Q$3:$Q$498,"=54")</f>
        <v>0</v>
      </c>
      <c r="F88" s="138">
        <f>SUMIFS('Plan rashoda za unos u SAP'!$J$3:$J$501,'Plan rashoda za unos u SAP'!$C$3:$C$501,"=12",'Plan rashoda za unos u SAP'!$N$3:$N$501,"=54")+SUMIFS('ANALITIKA EU PROJEKATA'!$H$3:$H$498,'ANALITIKA EU PROJEKATA'!$A$3:$A$498,"=12",'ANALITIKA EU PROJEKATA'!$Q$3:$Q$498,"=54")</f>
        <v>0</v>
      </c>
      <c r="G88" s="138">
        <f>SUMIFS('Plan rashoda za unos u SAP'!$J$3:$J$501,'Plan rashoda za unos u SAP'!$C$3:$C$501,"=31",'Plan rashoda za unos u SAP'!$N$3:$N$501,"=54")+SUMIFS('ANALITIKA EU PROJEKATA'!$H$3:$H$498,'ANALITIKA EU PROJEKATA'!$A$3:$A$498,"=31",'ANALITIKA EU PROJEKATA'!$Q$3:$Q$498,"=54")</f>
        <v>0</v>
      </c>
      <c r="H88" s="138">
        <f>SUMIFS('Plan rashoda za unos u SAP'!$J$3:$J$501,'Plan rashoda za unos u SAP'!$C$3:$C$501,"=41",'Plan rashoda za unos u SAP'!$N$3:$N$501,"=54")+SUMIFS('ANALITIKA EU PROJEKATA'!$H$3:$H$498,'ANALITIKA EU PROJEKATA'!$A$3:$A$498,"=41",'ANALITIKA EU PROJEKATA'!$Q$3:$Q$498,"=54")</f>
        <v>0</v>
      </c>
      <c r="I88" s="138">
        <f>SUMIFS('Plan rashoda za unos u SAP'!$J$3:$J$501,'Plan rashoda za unos u SAP'!$C$3:$C$501,"=43",'Plan rashoda za unos u SAP'!$N$3:$N$501,"=54")+SUMIFS('ANALITIKA EU PROJEKATA'!$H$3:$H$498,'ANALITIKA EU PROJEKATA'!$A$3:$A$498,"=43",'ANALITIKA EU PROJEKATA'!$Q$3:$Q$498,"=54")</f>
        <v>0</v>
      </c>
      <c r="J88" s="138">
        <f>SUMIFS('Plan rashoda za unos u SAP'!$J$3:$J$501,'Plan rashoda za unos u SAP'!$C$3:$C$501,"=51",'Plan rashoda za unos u SAP'!$N$3:$N$501,"=54")+SUMIFS('ANALITIKA EU PROJEKATA'!$H$3:$H$498,'ANALITIKA EU PROJEKATA'!$A$3:$A$498,"=51",'ANALITIKA EU PROJEKATA'!$Q$3:$Q$498,"=54")</f>
        <v>0</v>
      </c>
      <c r="K88" s="138">
        <f>SUMIFS('Plan rashoda za unos u SAP'!$J$3:$J$501,'Plan rashoda za unos u SAP'!$C$3:$C$501,"=52",'Plan rashoda za unos u SAP'!$N$3:$N$501,"=54")+SUMIFS('ANALITIKA EU PROJEKATA'!$H$3:$H$498,'ANALITIKA EU PROJEKATA'!$A$3:$A$498,"=52",'ANALITIKA EU PROJEKATA'!$Q$3:$Q$498,"=54")</f>
        <v>0</v>
      </c>
      <c r="L88" s="138">
        <f>SUMIFS('Plan rashoda za unos u SAP'!$J$3:$J$501,'Plan rashoda za unos u SAP'!$C$3:$C$501,"=552",'Plan rashoda za unos u SAP'!$N$3:$N$501,"=54")+SUMIFS('ANALITIKA EU PROJEKATA'!$H$3:$H$498,'ANALITIKA EU PROJEKATA'!$A$3:$A$498,"=552",'ANALITIKA EU PROJEKATA'!$Q$3:$Q$498,"=54")</f>
        <v>0</v>
      </c>
      <c r="M88" s="138">
        <f>SUMIFS('Plan rashoda za unos u SAP'!$J$3:$J$501,'Plan rashoda za unos u SAP'!$C$3:$C$501,"=559",'Plan rashoda za unos u SAP'!$N$3:$N$501,"=54")+SUMIFS('ANALITIKA EU PROJEKATA'!$H$3:$H$498,'ANALITIKA EU PROJEKATA'!$A$3:$A$498,"=559",'ANALITIKA EU PROJEKATA'!$Q$3:$Q$498,"=54")</f>
        <v>0</v>
      </c>
      <c r="N88" s="138">
        <f>SUMIFS('Plan rashoda za unos u SAP'!$J$3:$J$501,'Plan rashoda za unos u SAP'!$C$3:$C$501,"=561",'Plan rashoda za unos u SAP'!$N$3:$N$501,"=54")+SUMIFS('ANALITIKA EU PROJEKATA'!$H$3:$H$498,'ANALITIKA EU PROJEKATA'!$A$3:$A$498,"=561",'ANALITIKA EU PROJEKATA'!$Q$3:$Q$498,"=54")</f>
        <v>0</v>
      </c>
      <c r="O88" s="138">
        <f>SUMIFS('Plan rashoda za unos u SAP'!$J$3:$J$501,'Plan rashoda za unos u SAP'!$C$3:$C$501,"=563",'Plan rashoda za unos u SAP'!$N$3:$N$501,"=54")+SUMIFS('ANALITIKA EU PROJEKATA'!$H$3:$H$498,'ANALITIKA EU PROJEKATA'!$A$3:$A$498,"=563",'ANALITIKA EU PROJEKATA'!$Q$3:$Q$498,"=54")</f>
        <v>0</v>
      </c>
      <c r="P88" s="138">
        <f>SUMIFS('Plan rashoda za unos u SAP'!$J$3:$J$501,'Plan rashoda za unos u SAP'!$C$3:$C$501,"=573",'Plan rashoda za unos u SAP'!$N$3:$N$501,"=54")+SUMIFS('ANALITIKA EU PROJEKATA'!$H$3:$H$498,'ANALITIKA EU PROJEKATA'!$A$3:$A$498,"=573",'ANALITIKA EU PROJEKATA'!$Q$3:$Q$498,"=54")</f>
        <v>0</v>
      </c>
      <c r="Q88" s="138">
        <f>SUMIFS('Plan rashoda za unos u SAP'!$J$3:$J$501,'Plan rashoda za unos u SAP'!$C$3:$C$501,"=575",'Plan rashoda za unos u SAP'!$N$3:$N$501,"=54")+SUMIFS('ANALITIKA EU PROJEKATA'!$H$3:$H$498,'ANALITIKA EU PROJEKATA'!$A$3:$A$498,"=575",'ANALITIKA EU PROJEKATA'!$Q$3:$Q$498,"=54")</f>
        <v>0</v>
      </c>
      <c r="R88" s="138">
        <f>SUMIFS('Plan rashoda za unos u SAP'!$J$3:$J$501,'Plan rashoda za unos u SAP'!$C$3:$C$501,"=576",'Plan rashoda za unos u SAP'!$N$3:$N$501,"=54")+SUMIFS('ANALITIKA EU PROJEKATA'!$H$3:$H$498,'ANALITIKA EU PROJEKATA'!$A$3:$A$498,"=576",'ANALITIKA EU PROJEKATA'!$Q$3:$Q$498,"=54")</f>
        <v>0</v>
      </c>
      <c r="S88" s="138">
        <f>SUMIFS('Plan rashoda za unos u SAP'!$J$3:$J$501,'Plan rashoda za unos u SAP'!$C$3:$C$501,"=581",'Plan rashoda za unos u SAP'!$N$3:$N$501,"=54")+SUMIFS('ANALITIKA EU PROJEKATA'!$H$3:$H$498,'ANALITIKA EU PROJEKATA'!$A$3:$A$498,"=581",'ANALITIKA EU PROJEKATA'!$Q$3:$Q$498,"=54")</f>
        <v>0</v>
      </c>
      <c r="T88" s="138">
        <f>SUMIFS('Plan rashoda za unos u SAP'!$J$3:$J$501,'Plan rashoda za unos u SAP'!$C$3:$C$501,"=61",'Plan rashoda za unos u SAP'!$N$3:$N$501,"=54")+SUMIFS('ANALITIKA EU PROJEKATA'!$H$3:$H$498,'ANALITIKA EU PROJEKATA'!$A$3:$A$498,"=61",'ANALITIKA EU PROJEKATA'!$Q$3:$Q$498,"=54")</f>
        <v>0</v>
      </c>
      <c r="U88" s="138">
        <f>SUMIFS('Plan rashoda za unos u SAP'!$J$3:$J$501,'Plan rashoda za unos u SAP'!$C$3:$C$501,"=63",'Plan rashoda za unos u SAP'!$N$3:$N$501,"=54")+SUMIFS('ANALITIKA EU PROJEKATA'!$H$3:$H$498,'ANALITIKA EU PROJEKATA'!$A$3:$A$498,"=63",'ANALITIKA EU PROJEKATA'!$Q$3:$Q$498,"=54")</f>
        <v>0</v>
      </c>
      <c r="V88" s="138">
        <f>SUMIFS('Plan rashoda za unos u SAP'!$J$3:$J$501,'Plan rashoda za unos u SAP'!$C$3:$C$501,"=71",'Plan rashoda za unos u SAP'!$N$3:$N$501,"=54")+SUMIFS('ANALITIKA EU PROJEKATA'!$H$3:$H$498,'ANALITIKA EU PROJEKATA'!$A$3:$A$498,"=71",'ANALITIKA EU PROJEKATA'!$Q$3:$Q$498,"=54")</f>
        <v>0</v>
      </c>
      <c r="W88" s="138">
        <f>SUMIFS('Plan rashoda za unos u SAP'!$J$3:$J$501,'Plan rashoda za unos u SAP'!$C$3:$C$501,"=81",'Plan rashoda za unos u SAP'!$N$3:$N$501,"=54")+SUMIFS('ANALITIKA EU PROJEKATA'!$H$3:$H$498,'ANALITIKA EU PROJEKATA'!$A$3:$A$498,"=81",'ANALITIKA EU PROJEKATA'!$Q$3:$Q$498,"=54")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35736692</v>
      </c>
      <c r="E91" s="121">
        <f t="shared" ref="E91:W91" si="28">E92+E100+E106</f>
        <v>25084017</v>
      </c>
      <c r="F91" s="121">
        <f t="shared" si="28"/>
        <v>0</v>
      </c>
      <c r="G91" s="121">
        <f t="shared" si="28"/>
        <v>3661300</v>
      </c>
      <c r="H91" s="121">
        <f>H92+H100+H106</f>
        <v>0</v>
      </c>
      <c r="I91" s="121">
        <f t="shared" si="28"/>
        <v>4197900</v>
      </c>
      <c r="J91" s="121">
        <f t="shared" si="28"/>
        <v>2000000</v>
      </c>
      <c r="K91" s="121">
        <f t="shared" si="28"/>
        <v>753475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40000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35471392</v>
      </c>
      <c r="E92" s="130">
        <f t="shared" ref="E92:G92" si="29">SUM(E93:E99)</f>
        <v>24889017</v>
      </c>
      <c r="F92" s="130">
        <f t="shared" si="29"/>
        <v>0</v>
      </c>
      <c r="G92" s="130">
        <f t="shared" si="29"/>
        <v>3627200</v>
      </c>
      <c r="H92" s="130">
        <f>SUM(H93:H99)</f>
        <v>0</v>
      </c>
      <c r="I92" s="130">
        <f t="shared" ref="I92:K92" si="30">SUM(I93:I99)</f>
        <v>4174700</v>
      </c>
      <c r="J92" s="130">
        <f t="shared" si="30"/>
        <v>2000000</v>
      </c>
      <c r="K92" s="130">
        <f t="shared" si="30"/>
        <v>740475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40000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29981550</v>
      </c>
      <c r="E93" s="138">
        <f>SUMIFS('Plan rashoda za unos u SAP'!$K$3:$K$501,'Plan rashoda za unos u SAP'!$C$3:$C$501,"=11",'Plan rashoda za unos u SAP'!$N$3:$N$501,"=31")+SUMIFS('ANALITIKA EU PROJEKATA'!$I$3:$I$498,'ANALITIKA EU PROJEKATA'!$A$3:$A$498,"=11",'ANALITIKA EU PROJEKATA'!$Q$3:$Q$498,"=31")</f>
        <v>21521100</v>
      </c>
      <c r="F93" s="138">
        <f>SUMIFS('Plan rashoda za unos u SAP'!$K$3:$K$501,'Plan rashoda za unos u SAP'!$C$3:$C$501,"=12",'Plan rashoda za unos u SAP'!$N$3:$N$501,"=31")+SUMIFS('ANALITIKA EU PROJEKATA'!$I$3:$I$498,'ANALITIKA EU PROJEKATA'!$A$3:$A$498,"=12",'ANALITIKA EU PROJEKATA'!$Q$3:$Q$498,"=31")</f>
        <v>0</v>
      </c>
      <c r="G93" s="138">
        <f>SUMIFS('Plan rashoda za unos u SAP'!$K$3:$K$501,'Plan rashoda za unos u SAP'!$C$3:$C$501,"=31",'Plan rashoda za unos u SAP'!$N$3:$N$501,"=31")+SUMIFS('ANALITIKA EU PROJEKATA'!$I$3:$I$498,'ANALITIKA EU PROJEKATA'!$A$3:$A$498,"=31",'ANALITIKA EU PROJEKATA'!$Q$3:$Q$498,"=31")</f>
        <v>3047000</v>
      </c>
      <c r="H93" s="138">
        <f>SUMIFS('Plan rashoda za unos u SAP'!$K$3:$K$501,'Plan rashoda za unos u SAP'!$C$3:$C$501,"=41",'Plan rashoda za unos u SAP'!$N$3:$N$501,"=31")+SUMIFS('ANALITIKA EU PROJEKATA'!$I$3:$I$498,'ANALITIKA EU PROJEKATA'!$A$3:$A$498,"=41",'ANALITIKA EU PROJEKATA'!$Q$3:$Q$498,"=31")</f>
        <v>0</v>
      </c>
      <c r="I93" s="138">
        <f>SUMIFS('Plan rashoda za unos u SAP'!$K$3:$K$501,'Plan rashoda za unos u SAP'!$C$3:$C$501,"=43",'Plan rashoda za unos u SAP'!$N$3:$N$501,"=31")+SUMIFS('ANALITIKA EU PROJEKATA'!$I$3:$I$498,'ANALITIKA EU PROJEKATA'!$A$3:$A$498,"=43",'ANALITIKA EU PROJEKATA'!$Q$3:$Q$498,"=31")</f>
        <v>3122200</v>
      </c>
      <c r="J93" s="138">
        <f>SUMIFS('Plan rashoda za unos u SAP'!$K$3:$K$501,'Plan rashoda za unos u SAP'!$C$3:$C$501,"=51",'Plan rashoda za unos u SAP'!$N$3:$N$501,"=31")+SUMIFS('ANALITIKA EU PROJEKATA'!$I$3:$I$498,'ANALITIKA EU PROJEKATA'!$A$3:$A$498,"=51",'ANALITIKA EU PROJEKATA'!$Q$3:$Q$498,"=31")</f>
        <v>2000000</v>
      </c>
      <c r="K93" s="138">
        <f>SUMIFS('Plan rashoda za unos u SAP'!$K$3:$K$501,'Plan rashoda za unos u SAP'!$C$3:$C$501,"=52",'Plan rashoda za unos u SAP'!$N$3:$N$501,"=31")+SUMIFS('ANALITIKA EU PROJEKATA'!$I$3:$I$498,'ANALITIKA EU PROJEKATA'!$A$3:$A$498,"=52",'ANALITIKA EU PROJEKATA'!$Q$3:$Q$498,"=31")</f>
        <v>291250</v>
      </c>
      <c r="L93" s="138">
        <f>SUMIFS('Plan rashoda za unos u SAP'!$K$3:$K$501,'Plan rashoda za unos u SAP'!$C$3:$C$501,"=552",'Plan rashoda za unos u SAP'!$N$3:$N$501,"=31")+SUMIFS('ANALITIKA EU PROJEKATA'!$I$3:$I$498,'ANALITIKA EU PROJEKATA'!$A$3:$A$498,"=552",'ANALITIKA EU PROJEKATA'!$Q$3:$Q$498,"=31")</f>
        <v>0</v>
      </c>
      <c r="M93" s="138">
        <f>SUMIFS('Plan rashoda za unos u SAP'!$K$3:$K$501,'Plan rashoda za unos u SAP'!$C$3:$C$501,"=559",'Plan rashoda za unos u SAP'!$N$3:$N$501,"=31")+SUMIFS('ANALITIKA EU PROJEKATA'!$I$3:$I$498,'ANALITIKA EU PROJEKATA'!$A$3:$A$498,"=559",'ANALITIKA EU PROJEKATA'!$Q$3:$Q$498,"=31")</f>
        <v>0</v>
      </c>
      <c r="N93" s="138">
        <f>SUMIFS('Plan rashoda za unos u SAP'!$K$3:$K$501,'Plan rashoda za unos u SAP'!$C$3:$C$501,"=561",'Plan rashoda za unos u SAP'!$N$3:$N$501,"=31")+SUMIFS('ANALITIKA EU PROJEKATA'!$I$3:$I$498,'ANALITIKA EU PROJEKATA'!$A$3:$A$498,"=561",'ANALITIKA EU PROJEKATA'!$Q$3:$Q$498,"=31")</f>
        <v>0</v>
      </c>
      <c r="O93" s="138">
        <f>SUMIFS('Plan rashoda za unos u SAP'!$K$3:$K$501,'Plan rashoda za unos u SAP'!$C$3:$C$501,"=563",'Plan rashoda za unos u SAP'!$N$3:$N$501,"=31")+SUMIFS('ANALITIKA EU PROJEKATA'!$I$3:$I$498,'ANALITIKA EU PROJEKATA'!$A$3:$A$498,"=563",'ANALITIKA EU PROJEKATA'!$Q$3:$Q$498,"=31")</f>
        <v>0</v>
      </c>
      <c r="P93" s="138">
        <f>SUMIFS('Plan rashoda za unos u SAP'!$K$3:$K$501,'Plan rashoda za unos u SAP'!$C$3:$C$501,"=573",'Plan rashoda za unos u SAP'!$N$3:$N$501,"=31")+SUMIFS('ANALITIKA EU PROJEKATA'!$I$3:$I$498,'ANALITIKA EU PROJEKATA'!$A$3:$A$498,"=573",'ANALITIKA EU PROJEKATA'!$Q$3:$Q$498,"=31")</f>
        <v>0</v>
      </c>
      <c r="Q93" s="138">
        <f>SUMIFS('Plan rashoda za unos u SAP'!$K$3:$K$501,'Plan rashoda za unos u SAP'!$C$3:$C$501,"=575",'Plan rashoda za unos u SAP'!$N$3:$N$501,"=31")+SUMIFS('ANALITIKA EU PROJEKATA'!$I$3:$I$498,'ANALITIKA EU PROJEKATA'!$A$3:$A$498,"=575",'ANALITIKA EU PROJEKATA'!$Q$3:$Q$498,"=31")</f>
        <v>0</v>
      </c>
      <c r="R93" s="138">
        <f>SUMIFS('Plan rashoda za unos u SAP'!$K$3:$K$501,'Plan rashoda za unos u SAP'!$C$3:$C$501,"=576",'Plan rashoda za unos u SAP'!$N$3:$N$501,"=31")+SUMIFS('ANALITIKA EU PROJEKATA'!$I$3:$I$498,'ANALITIKA EU PROJEKATA'!$A$3:$A$498,"=576",'ANALITIKA EU PROJEKATA'!$Q$3:$Q$498,"=31")</f>
        <v>0</v>
      </c>
      <c r="S93" s="138">
        <f>SUMIFS('Plan rashoda za unos u SAP'!$K$3:$K$501,'Plan rashoda za unos u SAP'!$C$3:$C$501,"=581",'Plan rashoda za unos u SAP'!$N$3:$N$501,"=31")+SUMIFS('ANALITIKA EU PROJEKATA'!$I$3:$I$498,'ANALITIKA EU PROJEKATA'!$A$3:$A$498,"=581",'ANALITIKA EU PROJEKATA'!$Q$3:$Q$498,"=31")</f>
        <v>0</v>
      </c>
      <c r="T93" s="138">
        <f>SUMIFS('Plan rashoda za unos u SAP'!$K$3:$K$501,'Plan rashoda za unos u SAP'!$C$3:$C$501,"=61",'Plan rashoda za unos u SAP'!$N$3:$N$501,"=31")+SUMIFS('ANALITIKA EU PROJEKATA'!$I$3:$I$498,'ANALITIKA EU PROJEKATA'!$A$3:$A$498,"=61",'ANALITIKA EU PROJEKATA'!$Q$3:$Q$498,"=31")</f>
        <v>0</v>
      </c>
      <c r="U93" s="138">
        <f>SUMIFS('Plan rashoda za unos u SAP'!$K$3:$K$501,'Plan rashoda za unos u SAP'!$C$3:$C$501,"=63",'Plan rashoda za unos u SAP'!$N$3:$N$501,"=31")+SUMIFS('ANALITIKA EU PROJEKATA'!$I$3:$I$498,'ANALITIKA EU PROJEKATA'!$A$3:$A$498,"=63",'ANALITIKA EU PROJEKATA'!$Q$3:$Q$498,"=31")</f>
        <v>0</v>
      </c>
      <c r="V93" s="138">
        <f>SUMIFS('Plan rashoda za unos u SAP'!$K$3:$K$501,'Plan rashoda za unos u SAP'!$C$3:$C$501,"=71",'Plan rashoda za unos u SAP'!$N$3:$N$501,"=31")+SUMIFS('ANALITIKA EU PROJEKATA'!$I$3:$I$498,'ANALITIKA EU PROJEKATA'!$A$3:$A$498,"=71",'ANALITIKA EU PROJEKATA'!$Q$3:$Q$498,"=31")</f>
        <v>0</v>
      </c>
      <c r="W93" s="138">
        <f>SUMIFS('Plan rashoda za unos u SAP'!$K$3:$K$501,'Plan rashoda za unos u SAP'!$C$3:$C$501,"=81",'Plan rashoda za unos u SAP'!$N$3:$N$501,"=31")+SUMIFS('ANALITIKA EU PROJEKATA'!$I$3:$I$498,'ANALITIKA EU PROJEKATA'!$A$3:$A$498,"=81",'ANALITIKA EU PROJEKATA'!$Q$3:$Q$498,"=31")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5180542</v>
      </c>
      <c r="E94" s="138">
        <f>SUMIFS('Plan rashoda za unos u SAP'!$K$3:$K$501,'Plan rashoda za unos u SAP'!$C$3:$C$501,"=11",'Plan rashoda za unos u SAP'!$N$3:$N$501,"=32")+SUMIFS('ANALITIKA EU PROJEKATA'!$I$3:$I$498,'ANALITIKA EU PROJEKATA'!$A$3:$A$498,"=11",'ANALITIKA EU PROJEKATA'!$Q$3:$Q$498,"=32")</f>
        <v>3307917</v>
      </c>
      <c r="F94" s="138">
        <f>SUMIFS('Plan rashoda za unos u SAP'!$K$3:$K$501,'Plan rashoda za unos u SAP'!$C$3:$C$501,"=12",'Plan rashoda za unos u SAP'!$N$3:$N$501,"=32")+SUMIFS('ANALITIKA EU PROJEKATA'!$I$3:$I$498,'ANALITIKA EU PROJEKATA'!$A$3:$A$498,"=12",'ANALITIKA EU PROJEKATA'!$Q$3:$Q$498,"=32")</f>
        <v>0</v>
      </c>
      <c r="G94" s="138">
        <f>SUMIFS('Plan rashoda za unos u SAP'!$K$3:$K$501,'Plan rashoda za unos u SAP'!$C$3:$C$501,"=31",'Plan rashoda za unos u SAP'!$N$3:$N$501,"=32")+SUMIFS('ANALITIKA EU PROJEKATA'!$I$3:$I$498,'ANALITIKA EU PROJEKATA'!$A$3:$A$498,"=31",'ANALITIKA EU PROJEKATA'!$Q$3:$Q$498,"=32")</f>
        <v>530900</v>
      </c>
      <c r="H94" s="138">
        <f>SUMIFS('Plan rashoda za unos u SAP'!$K$3:$K$501,'Plan rashoda za unos u SAP'!$C$3:$C$501,"=41",'Plan rashoda za unos u SAP'!$N$3:$N$501,"=32")+SUMIFS('ANALITIKA EU PROJEKATA'!$I$3:$I$498,'ANALITIKA EU PROJEKATA'!$A$3:$A$498,"=41",'ANALITIKA EU PROJEKATA'!$Q$3:$Q$498,"=32")</f>
        <v>0</v>
      </c>
      <c r="I94" s="138">
        <f>SUMIFS('Plan rashoda za unos u SAP'!$K$3:$K$501,'Plan rashoda za unos u SAP'!$C$3:$C$501,"=43",'Plan rashoda za unos u SAP'!$N$3:$N$501,"=32")+SUMIFS('ANALITIKA EU PROJEKATA'!$I$3:$I$498,'ANALITIKA EU PROJEKATA'!$A$3:$A$498,"=43",'ANALITIKA EU PROJEKATA'!$Q$3:$Q$498,"=32")</f>
        <v>853500</v>
      </c>
      <c r="J94" s="138">
        <f>SUMIFS('Plan rashoda za unos u SAP'!$K$3:$K$501,'Plan rashoda za unos u SAP'!$C$3:$C$501,"=51",'Plan rashoda za unos u SAP'!$N$3:$N$501,"=32")+SUMIFS('ANALITIKA EU PROJEKATA'!$I$3:$I$498,'ANALITIKA EU PROJEKATA'!$A$3:$A$498,"=51",'ANALITIKA EU PROJEKATA'!$Q$3:$Q$498,"=32")</f>
        <v>0</v>
      </c>
      <c r="K94" s="138">
        <f>SUMIFS('Plan rashoda za unos u SAP'!$K$3:$K$501,'Plan rashoda za unos u SAP'!$C$3:$C$501,"=52",'Plan rashoda za unos u SAP'!$N$3:$N$501,"=32")+SUMIFS('ANALITIKA EU PROJEKATA'!$I$3:$I$498,'ANALITIKA EU PROJEKATA'!$A$3:$A$498,"=52",'ANALITIKA EU PROJEKATA'!$Q$3:$Q$498,"=32")</f>
        <v>448225</v>
      </c>
      <c r="L94" s="138">
        <f>SUMIFS('Plan rashoda za unos u SAP'!$K$3:$K$501,'Plan rashoda za unos u SAP'!$C$3:$C$501,"=552",'Plan rashoda za unos u SAP'!$N$3:$N$501,"=32")+SUMIFS('ANALITIKA EU PROJEKATA'!$I$3:$I$498,'ANALITIKA EU PROJEKATA'!$A$3:$A$498,"=552",'ANALITIKA EU PROJEKATA'!$Q$3:$Q$498,"=32")</f>
        <v>0</v>
      </c>
      <c r="M94" s="138">
        <f>SUMIFS('Plan rashoda za unos u SAP'!$K$3:$K$501,'Plan rashoda za unos u SAP'!$C$3:$C$501,"=559",'Plan rashoda za unos u SAP'!$N$3:$N$501,"=32")+SUMIFS('ANALITIKA EU PROJEKATA'!$I$3:$I$498,'ANALITIKA EU PROJEKATA'!$A$3:$A$498,"=559",'ANALITIKA EU PROJEKATA'!$Q$3:$Q$498,"=32")</f>
        <v>0</v>
      </c>
      <c r="N94" s="138">
        <f>SUMIFS('Plan rashoda za unos u SAP'!$K$3:$K$501,'Plan rashoda za unos u SAP'!$C$3:$C$501,"=561",'Plan rashoda za unos u SAP'!$N$3:$N$501,"=32")+SUMIFS('ANALITIKA EU PROJEKATA'!$I$3:$I$498,'ANALITIKA EU PROJEKATA'!$A$3:$A$498,"=561",'ANALITIKA EU PROJEKATA'!$Q$3:$Q$498,"=32")</f>
        <v>0</v>
      </c>
      <c r="O94" s="138">
        <f>SUMIFS('Plan rashoda za unos u SAP'!$K$3:$K$501,'Plan rashoda za unos u SAP'!$C$3:$C$501,"=563",'Plan rashoda za unos u SAP'!$N$3:$N$501,"=32")+SUMIFS('ANALITIKA EU PROJEKATA'!$I$3:$I$498,'ANALITIKA EU PROJEKATA'!$A$3:$A$498,"=563",'ANALITIKA EU PROJEKATA'!$Q$3:$Q$498,"=32")</f>
        <v>0</v>
      </c>
      <c r="P94" s="138">
        <f>SUMIFS('Plan rashoda za unos u SAP'!$K$3:$K$501,'Plan rashoda za unos u SAP'!$C$3:$C$501,"=573",'Plan rashoda za unos u SAP'!$N$3:$N$501,"=32")+SUMIFS('ANALITIKA EU PROJEKATA'!$I$3:$I$498,'ANALITIKA EU PROJEKATA'!$A$3:$A$498,"=573",'ANALITIKA EU PROJEKATA'!$Q$3:$Q$498,"=32")</f>
        <v>0</v>
      </c>
      <c r="Q94" s="138">
        <f>SUMIFS('Plan rashoda za unos u SAP'!$K$3:$K$501,'Plan rashoda za unos u SAP'!$C$3:$C$501,"=575",'Plan rashoda za unos u SAP'!$N$3:$N$501,"=32")+SUMIFS('ANALITIKA EU PROJEKATA'!$I$3:$I$498,'ANALITIKA EU PROJEKATA'!$A$3:$A$498,"=575",'ANALITIKA EU PROJEKATA'!$Q$3:$Q$498,"=32")</f>
        <v>0</v>
      </c>
      <c r="R94" s="138">
        <f>SUMIFS('Plan rashoda za unos u SAP'!$K$3:$K$501,'Plan rashoda za unos u SAP'!$C$3:$C$501,"=576",'Plan rashoda za unos u SAP'!$N$3:$N$501,"=32")+SUMIFS('ANALITIKA EU PROJEKATA'!$I$3:$I$498,'ANALITIKA EU PROJEKATA'!$A$3:$A$498,"=576",'ANALITIKA EU PROJEKATA'!$Q$3:$Q$498,"=32")</f>
        <v>0</v>
      </c>
      <c r="S94" s="138">
        <f>SUMIFS('Plan rashoda za unos u SAP'!$K$3:$K$501,'Plan rashoda za unos u SAP'!$C$3:$C$501,"=581",'Plan rashoda za unos u SAP'!$N$3:$N$501,"=32")+SUMIFS('ANALITIKA EU PROJEKATA'!$I$3:$I$498,'ANALITIKA EU PROJEKATA'!$A$3:$A$498,"=581",'ANALITIKA EU PROJEKATA'!$Q$3:$Q$498,"=32")</f>
        <v>0</v>
      </c>
      <c r="T94" s="138">
        <f>SUMIFS('Plan rashoda za unos u SAP'!$K$3:$K$501,'Plan rashoda za unos u SAP'!$C$3:$C$501,"=61",'Plan rashoda za unos u SAP'!$N$3:$N$501,"=32")+SUMIFS('ANALITIKA EU PROJEKATA'!$I$3:$I$498,'ANALITIKA EU PROJEKATA'!$A$3:$A$498,"=61",'ANALITIKA EU PROJEKATA'!$Q$3:$Q$498,"=32")</f>
        <v>40000</v>
      </c>
      <c r="U94" s="138">
        <f>SUMIFS('Plan rashoda za unos u SAP'!$K$3:$K$501,'Plan rashoda za unos u SAP'!$C$3:$C$501,"=63",'Plan rashoda za unos u SAP'!$N$3:$N$501,"=32")+SUMIFS('ANALITIKA EU PROJEKATA'!$I$3:$I$498,'ANALITIKA EU PROJEKATA'!$A$3:$A$498,"=63",'ANALITIKA EU PROJEKATA'!$Q$3:$Q$498,"=32")</f>
        <v>0</v>
      </c>
      <c r="V94" s="138">
        <f>SUMIFS('Plan rashoda za unos u SAP'!$K$3:$K$501,'Plan rashoda za unos u SAP'!$C$3:$C$501,"=71",'Plan rashoda za unos u SAP'!$N$3:$N$501,"=32")+SUMIFS('ANALITIKA EU PROJEKATA'!$I$3:$I$498,'ANALITIKA EU PROJEKATA'!$A$3:$A$498,"=71",'ANALITIKA EU PROJEKATA'!$Q$3:$Q$498,"=32")</f>
        <v>0</v>
      </c>
      <c r="W94" s="138">
        <f>SUMIFS('Plan rashoda za unos u SAP'!$K$3:$K$501,'Plan rashoda za unos u SAP'!$C$3:$C$501,"=81",'Plan rashoda za unos u SAP'!$N$3:$N$501,"=32")+SUMIFS('ANALITIKA EU PROJEKATA'!$I$3:$I$498,'ANALITIKA EU PROJEKATA'!$A$3:$A$498,"=81",'ANALITIKA EU PROJEKATA'!$Q$3:$Q$498,"=32")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30300</v>
      </c>
      <c r="E95" s="138">
        <f>SUMIFS('Plan rashoda za unos u SAP'!$K$3:$K$501,'Plan rashoda za unos u SAP'!$C$3:$C$501,"=11",'Plan rashoda za unos u SAP'!$N$3:$N$501,"=34")+SUMIFS('ANALITIKA EU PROJEKATA'!$I$3:$I$498,'ANALITIKA EU PROJEKATA'!$A$3:$A$498,"=11",'ANALITIKA EU PROJEKATA'!$Q$3:$Q$498,"=34")</f>
        <v>27000</v>
      </c>
      <c r="F95" s="138">
        <f>SUMIFS('Plan rashoda za unos u SAP'!$K$3:$K$501,'Plan rashoda za unos u SAP'!$C$3:$C$501,"=12",'Plan rashoda za unos u SAP'!$N$3:$N$501,"=34")+SUMIFS('ANALITIKA EU PROJEKATA'!$I$3:$I$498,'ANALITIKA EU PROJEKATA'!$A$3:$A$498,"=12",'ANALITIKA EU PROJEKATA'!$Q$3:$Q$498,"=34")</f>
        <v>0</v>
      </c>
      <c r="G95" s="138">
        <f>SUMIFS('Plan rashoda za unos u SAP'!$K$3:$K$501,'Plan rashoda za unos u SAP'!$C$3:$C$501,"=31",'Plan rashoda za unos u SAP'!$N$3:$N$501,"=34")+SUMIFS('ANALITIKA EU PROJEKATA'!$I$3:$I$498,'ANALITIKA EU PROJEKATA'!$A$3:$A$498,"=31",'ANALITIKA EU PROJEKATA'!$Q$3:$Q$498,"=34")</f>
        <v>1300</v>
      </c>
      <c r="H95" s="138">
        <f>SUMIFS('Plan rashoda za unos u SAP'!$K$3:$K$501,'Plan rashoda za unos u SAP'!$C$3:$C$501,"=41",'Plan rashoda za unos u SAP'!$N$3:$N$501,"=34")+SUMIFS('ANALITIKA EU PROJEKATA'!$I$3:$I$498,'ANALITIKA EU PROJEKATA'!$A$3:$A$498,"=41",'ANALITIKA EU PROJEKATA'!$Q$3:$Q$498,"=34")</f>
        <v>0</v>
      </c>
      <c r="I95" s="138">
        <f>SUMIFS('Plan rashoda za unos u SAP'!$K$3:$K$501,'Plan rashoda za unos u SAP'!$C$3:$C$501,"=43",'Plan rashoda za unos u SAP'!$N$3:$N$501,"=34")+SUMIFS('ANALITIKA EU PROJEKATA'!$I$3:$I$498,'ANALITIKA EU PROJEKATA'!$A$3:$A$498,"=43",'ANALITIKA EU PROJEKATA'!$Q$3:$Q$498,"=34")</f>
        <v>1000</v>
      </c>
      <c r="J95" s="138">
        <f>SUMIFS('Plan rashoda za unos u SAP'!$K$3:$K$501,'Plan rashoda za unos u SAP'!$C$3:$C$501,"=51",'Plan rashoda za unos u SAP'!$N$3:$N$501,"=34")+SUMIFS('ANALITIKA EU PROJEKATA'!$I$3:$I$498,'ANALITIKA EU PROJEKATA'!$A$3:$A$498,"=51",'ANALITIKA EU PROJEKATA'!$Q$3:$Q$498,"=34")</f>
        <v>0</v>
      </c>
      <c r="K95" s="138">
        <f>SUMIFS('Plan rashoda za unos u SAP'!$K$3:$K$501,'Plan rashoda za unos u SAP'!$C$3:$C$501,"=52",'Plan rashoda za unos u SAP'!$N$3:$N$501,"=34")+SUMIFS('ANALITIKA EU PROJEKATA'!$I$3:$I$498,'ANALITIKA EU PROJEKATA'!$A$3:$A$498,"=52",'ANALITIKA EU PROJEKATA'!$Q$3:$Q$498,"=34")</f>
        <v>1000</v>
      </c>
      <c r="L95" s="138">
        <f>SUMIFS('Plan rashoda za unos u SAP'!$K$3:$K$501,'Plan rashoda za unos u SAP'!$C$3:$C$501,"=552",'Plan rashoda za unos u SAP'!$N$3:$N$501,"=34")+SUMIFS('ANALITIKA EU PROJEKATA'!$I$3:$I$498,'ANALITIKA EU PROJEKATA'!$A$3:$A$498,"=552",'ANALITIKA EU PROJEKATA'!$Q$3:$Q$498,"=34")</f>
        <v>0</v>
      </c>
      <c r="M95" s="138">
        <f>SUMIFS('Plan rashoda za unos u SAP'!$K$3:$K$501,'Plan rashoda za unos u SAP'!$C$3:$C$501,"=559",'Plan rashoda za unos u SAP'!$N$3:$N$501,"=34")+SUMIFS('ANALITIKA EU PROJEKATA'!$I$3:$I$498,'ANALITIKA EU PROJEKATA'!$A$3:$A$498,"=559",'ANALITIKA EU PROJEKATA'!$Q$3:$Q$498,"=34")</f>
        <v>0</v>
      </c>
      <c r="N95" s="138">
        <f>SUMIFS('Plan rashoda za unos u SAP'!$K$3:$K$501,'Plan rashoda za unos u SAP'!$C$3:$C$501,"=561",'Plan rashoda za unos u SAP'!$N$3:$N$501,"=34")+SUMIFS('ANALITIKA EU PROJEKATA'!$I$3:$I$498,'ANALITIKA EU PROJEKATA'!$A$3:$A$498,"=561",'ANALITIKA EU PROJEKATA'!$Q$3:$Q$498,"=34")</f>
        <v>0</v>
      </c>
      <c r="O95" s="138">
        <f>SUMIFS('Plan rashoda za unos u SAP'!$K$3:$K$501,'Plan rashoda za unos u SAP'!$C$3:$C$501,"=563",'Plan rashoda za unos u SAP'!$N$3:$N$501,"=34")+SUMIFS('ANALITIKA EU PROJEKATA'!$I$3:$I$498,'ANALITIKA EU PROJEKATA'!$A$3:$A$498,"=563",'ANALITIKA EU PROJEKATA'!$Q$3:$Q$498,"=34")</f>
        <v>0</v>
      </c>
      <c r="P95" s="138">
        <f>SUMIFS('Plan rashoda za unos u SAP'!$K$3:$K$501,'Plan rashoda za unos u SAP'!$C$3:$C$501,"=573",'Plan rashoda za unos u SAP'!$N$3:$N$501,"=34")+SUMIFS('ANALITIKA EU PROJEKATA'!$I$3:$I$498,'ANALITIKA EU PROJEKATA'!$A$3:$A$498,"=573",'ANALITIKA EU PROJEKATA'!$Q$3:$Q$498,"=34")</f>
        <v>0</v>
      </c>
      <c r="Q95" s="138">
        <f>SUMIFS('Plan rashoda za unos u SAP'!$K$3:$K$501,'Plan rashoda za unos u SAP'!$C$3:$C$501,"=575",'Plan rashoda za unos u SAP'!$N$3:$N$501,"=34")+SUMIFS('ANALITIKA EU PROJEKATA'!$I$3:$I$498,'ANALITIKA EU PROJEKATA'!$A$3:$A$498,"=575",'ANALITIKA EU PROJEKATA'!$Q$3:$Q$498,"=34")</f>
        <v>0</v>
      </c>
      <c r="R95" s="138">
        <f>SUMIFS('Plan rashoda za unos u SAP'!$K$3:$K$501,'Plan rashoda za unos u SAP'!$C$3:$C$501,"=576",'Plan rashoda za unos u SAP'!$N$3:$N$501,"=34")+SUMIFS('ANALITIKA EU PROJEKATA'!$I$3:$I$498,'ANALITIKA EU PROJEKATA'!$A$3:$A$498,"=576",'ANALITIKA EU PROJEKATA'!$Q$3:$Q$498,"=34")</f>
        <v>0</v>
      </c>
      <c r="S95" s="138">
        <f>SUMIFS('Plan rashoda za unos u SAP'!$K$3:$K$501,'Plan rashoda za unos u SAP'!$C$3:$C$501,"=581",'Plan rashoda za unos u SAP'!$N$3:$N$501,"=34")+SUMIFS('ANALITIKA EU PROJEKATA'!$I$3:$I$498,'ANALITIKA EU PROJEKATA'!$A$3:$A$498,"=581",'ANALITIKA EU PROJEKATA'!$Q$3:$Q$498,"=34")</f>
        <v>0</v>
      </c>
      <c r="T95" s="138">
        <f>SUMIFS('Plan rashoda za unos u SAP'!$K$3:$K$501,'Plan rashoda za unos u SAP'!$C$3:$C$501,"=61",'Plan rashoda za unos u SAP'!$N$3:$N$501,"=34")+SUMIFS('ANALITIKA EU PROJEKATA'!$I$3:$I$498,'ANALITIKA EU PROJEKATA'!$A$3:$A$498,"=61",'ANALITIKA EU PROJEKATA'!$Q$3:$Q$498,"=34")</f>
        <v>0</v>
      </c>
      <c r="U95" s="138">
        <f>SUMIFS('Plan rashoda za unos u SAP'!$K$3:$K$501,'Plan rashoda za unos u SAP'!$C$3:$C$501,"=63",'Plan rashoda za unos u SAP'!$N$3:$N$501,"=34")+SUMIFS('ANALITIKA EU PROJEKATA'!$I$3:$I$498,'ANALITIKA EU PROJEKATA'!$A$3:$A$498,"=63",'ANALITIKA EU PROJEKATA'!$Q$3:$Q$498,"=34")</f>
        <v>0</v>
      </c>
      <c r="V95" s="138">
        <f>SUMIFS('Plan rashoda za unos u SAP'!$K$3:$K$501,'Plan rashoda za unos u SAP'!$C$3:$C$501,"=71",'Plan rashoda za unos u SAP'!$N$3:$N$501,"=34")+SUMIFS('ANALITIKA EU PROJEKATA'!$I$3:$I$498,'ANALITIKA EU PROJEKATA'!$A$3:$A$498,"=71",'ANALITIKA EU PROJEKATA'!$Q$3:$Q$498,"=34")</f>
        <v>0</v>
      </c>
      <c r="W95" s="138">
        <f>SUMIFS('Plan rashoda za unos u SAP'!$K$3:$K$501,'Plan rashoda za unos u SAP'!$C$3:$C$501,"=81",'Plan rashoda za unos u SAP'!$N$3:$N$501,"=34")+SUMIFS('ANALITIKA EU PROJEKATA'!$I$3:$I$498,'ANALITIKA EU PROJEKATA'!$A$3:$A$498,"=81",'ANALITIKA EU PROJEKATA'!$Q$3:$Q$498,"=34")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PROJEKATA'!$I$3:$I$498,'ANALITIKA EU PROJEKATA'!$A$3:$A$498,"=11",'ANALITIKA EU PROJEKATA'!$Q$3:$Q$498,"=35")</f>
        <v>0</v>
      </c>
      <c r="F96" s="138">
        <f>SUMIFS('Plan rashoda za unos u SAP'!$K$3:$K$501,'Plan rashoda za unos u SAP'!$C$3:$C$501,"=12",'Plan rashoda za unos u SAP'!$N$3:$N$501,"=35")+SUMIFS('ANALITIKA EU PROJEKATA'!$I$3:$I$498,'ANALITIKA EU PROJEKATA'!$A$3:$A$498,"=12",'ANALITIKA EU PROJEKATA'!$Q$3:$Q$498,"=35")</f>
        <v>0</v>
      </c>
      <c r="G96" s="138">
        <f>SUMIFS('Plan rashoda za unos u SAP'!$K$3:$K$501,'Plan rashoda za unos u SAP'!$C$3:$C$501,"=31",'Plan rashoda za unos u SAP'!$N$3:$N$501,"=35")+SUMIFS('ANALITIKA EU PROJEKATA'!$I$3:$I$498,'ANALITIKA EU PROJEKATA'!$A$3:$A$498,"=31",'ANALITIKA EU PROJEKATA'!$Q$3:$Q$498,"=35")</f>
        <v>0</v>
      </c>
      <c r="H96" s="138">
        <f>SUMIFS('Plan rashoda za unos u SAP'!$K$3:$K$501,'Plan rashoda za unos u SAP'!$C$3:$C$501,"=41",'Plan rashoda za unos u SAP'!$N$3:$N$501,"=35")+SUMIFS('ANALITIKA EU PROJEKATA'!$I$3:$I$498,'ANALITIKA EU PROJEKATA'!$A$3:$A$498,"=41",'ANALITIKA EU PROJEKATA'!$Q$3:$Q$498,"=35")</f>
        <v>0</v>
      </c>
      <c r="I96" s="138">
        <f>SUMIFS('Plan rashoda za unos u SAP'!$K$3:$K$501,'Plan rashoda za unos u SAP'!$C$3:$C$501,"=43",'Plan rashoda za unos u SAP'!$N$3:$N$501,"=35")+SUMIFS('ANALITIKA EU PROJEKATA'!$I$3:$I$498,'ANALITIKA EU PROJEKATA'!$A$3:$A$498,"=43",'ANALITIKA EU PROJEKATA'!$Q$3:$Q$498,"=35")</f>
        <v>0</v>
      </c>
      <c r="J96" s="138">
        <f>SUMIFS('Plan rashoda za unos u SAP'!$K$3:$K$501,'Plan rashoda za unos u SAP'!$C$3:$C$501,"=51",'Plan rashoda za unos u SAP'!$N$3:$N$501,"=35")+SUMIFS('ANALITIKA EU PROJEKATA'!$I$3:$I$498,'ANALITIKA EU PROJEKATA'!$A$3:$A$498,"=51",'ANALITIKA EU PROJEKATA'!$Q$3:$Q$498,"=35")</f>
        <v>0</v>
      </c>
      <c r="K96" s="138">
        <f>SUMIFS('Plan rashoda za unos u SAP'!$K$3:$K$501,'Plan rashoda za unos u SAP'!$C$3:$C$501,"=52",'Plan rashoda za unos u SAP'!$N$3:$N$501,"=35")+SUMIFS('ANALITIKA EU PROJEKATA'!$I$3:$I$498,'ANALITIKA EU PROJEKATA'!$A$3:$A$498,"=52",'ANALITIKA EU PROJEKATA'!$Q$3:$Q$498,"=35")</f>
        <v>0</v>
      </c>
      <c r="L96" s="138">
        <f>SUMIFS('Plan rashoda za unos u SAP'!$K$3:$K$501,'Plan rashoda za unos u SAP'!$C$3:$C$501,"=552",'Plan rashoda za unos u SAP'!$N$3:$N$501,"=35")+SUMIFS('ANALITIKA EU PROJEKATA'!$I$3:$I$498,'ANALITIKA EU PROJEKATA'!$A$3:$A$498,"=552",'ANALITIKA EU PROJEKATA'!$Q$3:$Q$498,"=35")</f>
        <v>0</v>
      </c>
      <c r="M96" s="138">
        <f>SUMIFS('Plan rashoda za unos u SAP'!$K$3:$K$501,'Plan rashoda za unos u SAP'!$C$3:$C$501,"=559",'Plan rashoda za unos u SAP'!$N$3:$N$501,"=35")+SUMIFS('ANALITIKA EU PROJEKATA'!$I$3:$I$498,'ANALITIKA EU PROJEKATA'!$A$3:$A$498,"=559",'ANALITIKA EU PROJEKATA'!$Q$3:$Q$498,"=35")</f>
        <v>0</v>
      </c>
      <c r="N96" s="138">
        <f>SUMIFS('Plan rashoda za unos u SAP'!$K$3:$K$501,'Plan rashoda za unos u SAP'!$C$3:$C$501,"=561",'Plan rashoda za unos u SAP'!$N$3:$N$501,"=35")+SUMIFS('ANALITIKA EU PROJEKATA'!$I$3:$I$498,'ANALITIKA EU PROJEKATA'!$A$3:$A$498,"=561",'ANALITIKA EU PROJEKATA'!$Q$3:$Q$498,"=35")</f>
        <v>0</v>
      </c>
      <c r="O96" s="138">
        <f>SUMIFS('Plan rashoda za unos u SAP'!$K$3:$K$501,'Plan rashoda za unos u SAP'!$C$3:$C$501,"=563",'Plan rashoda za unos u SAP'!$N$3:$N$501,"=35")+SUMIFS('ANALITIKA EU PROJEKATA'!$I$3:$I$498,'ANALITIKA EU PROJEKATA'!$A$3:$A$498,"=563",'ANALITIKA EU PROJEKATA'!$Q$3:$Q$498,"=35")</f>
        <v>0</v>
      </c>
      <c r="P96" s="138">
        <f>SUMIFS('Plan rashoda za unos u SAP'!$K$3:$K$501,'Plan rashoda za unos u SAP'!$C$3:$C$501,"=573",'Plan rashoda za unos u SAP'!$N$3:$N$501,"=35")+SUMIFS('ANALITIKA EU PROJEKATA'!$I$3:$I$498,'ANALITIKA EU PROJEKATA'!$A$3:$A$498,"=573",'ANALITIKA EU PROJEKATA'!$Q$3:$Q$498,"=35")</f>
        <v>0</v>
      </c>
      <c r="Q96" s="138">
        <f>SUMIFS('Plan rashoda za unos u SAP'!$K$3:$K$501,'Plan rashoda za unos u SAP'!$C$3:$C$501,"=575",'Plan rashoda za unos u SAP'!$N$3:$N$501,"=35")+SUMIFS('ANALITIKA EU PROJEKATA'!$I$3:$I$498,'ANALITIKA EU PROJEKATA'!$A$3:$A$498,"=575",'ANALITIKA EU PROJEKATA'!$Q$3:$Q$498,"=35")</f>
        <v>0</v>
      </c>
      <c r="R96" s="138">
        <f>SUMIFS('Plan rashoda za unos u SAP'!$K$3:$K$501,'Plan rashoda za unos u SAP'!$C$3:$C$501,"=576",'Plan rashoda za unos u SAP'!$N$3:$N$501,"=35")+SUMIFS('ANALITIKA EU PROJEKATA'!$I$3:$I$498,'ANALITIKA EU PROJEKATA'!$A$3:$A$498,"=576",'ANALITIKA EU PROJEKATA'!$Q$3:$Q$498,"=35")</f>
        <v>0</v>
      </c>
      <c r="S96" s="138">
        <f>SUMIFS('Plan rashoda za unos u SAP'!$K$3:$K$501,'Plan rashoda za unos u SAP'!$C$3:$C$501,"=581",'Plan rashoda za unos u SAP'!$N$3:$N$501,"=35")+SUMIFS('ANALITIKA EU PROJEKATA'!$I$3:$I$498,'ANALITIKA EU PROJEKATA'!$A$3:$A$498,"=581",'ANALITIKA EU PROJEKATA'!$Q$3:$Q$498,"=35")</f>
        <v>0</v>
      </c>
      <c r="T96" s="138">
        <f>SUMIFS('Plan rashoda za unos u SAP'!$K$3:$K$501,'Plan rashoda za unos u SAP'!$C$3:$C$501,"=61",'Plan rashoda za unos u SAP'!$N$3:$N$501,"=35")+SUMIFS('ANALITIKA EU PROJEKATA'!$I$3:$I$498,'ANALITIKA EU PROJEKATA'!$A$3:$A$498,"=61",'ANALITIKA EU PROJEKATA'!$Q$3:$Q$498,"=35")</f>
        <v>0</v>
      </c>
      <c r="U96" s="138">
        <f>SUMIFS('Plan rashoda za unos u SAP'!$K$3:$K$501,'Plan rashoda za unos u SAP'!$C$3:$C$501,"=63",'Plan rashoda za unos u SAP'!$N$3:$N$501,"=35")+SUMIFS('ANALITIKA EU PROJEKATA'!$I$3:$I$498,'ANALITIKA EU PROJEKATA'!$A$3:$A$498,"=63",'ANALITIKA EU PROJEKATA'!$Q$3:$Q$498,"=35")</f>
        <v>0</v>
      </c>
      <c r="V96" s="138">
        <f>SUMIFS('Plan rashoda za unos u SAP'!$K$3:$K$501,'Plan rashoda za unos u SAP'!$C$3:$C$501,"=71",'Plan rashoda za unos u SAP'!$N$3:$N$501,"=35")+SUMIFS('ANALITIKA EU PROJEKATA'!$I$3:$I$498,'ANALITIKA EU PROJEKATA'!$A$3:$A$498,"=71",'ANALITIKA EU PROJEKATA'!$Q$3:$Q$498,"=35")</f>
        <v>0</v>
      </c>
      <c r="W96" s="138">
        <f>SUMIFS('Plan rashoda za unos u SAP'!$K$3:$K$501,'Plan rashoda za unos u SAP'!$C$3:$C$501,"=81",'Plan rashoda za unos u SAP'!$N$3:$N$501,"=35")+SUMIFS('ANALITIKA EU PROJEKATA'!$I$3:$I$498,'ANALITIKA EU PROJEKATA'!$A$3:$A$498,"=81",'ANALITIKA EU PROJEKATA'!$Q$3:$Q$498,"=35")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246000</v>
      </c>
      <c r="E97" s="138">
        <f>SUMIFS('Plan rashoda za unos u SAP'!$K$3:$K$501,'Plan rashoda za unos u SAP'!$C$3:$C$501,"=11",'Plan rashoda za unos u SAP'!$N$3:$N$501,"=36")+SUMIFS('ANALITIKA EU PROJEKATA'!$I$3:$I$498,'ANALITIKA EU PROJEKATA'!$A$3:$A$498,"=11",'ANALITIKA EU PROJEKATA'!$Q$3:$Q$498,"=36")</f>
        <v>0</v>
      </c>
      <c r="F97" s="138">
        <f>SUMIFS('Plan rashoda za unos u SAP'!$K$3:$K$501,'Plan rashoda za unos u SAP'!$C$3:$C$501,"=12",'Plan rashoda za unos u SAP'!$N$3:$N$501,"=36")+SUMIFS('ANALITIKA EU PROJEKATA'!$I$3:$I$498,'ANALITIKA EU PROJEKATA'!$A$3:$A$498,"=12",'ANALITIKA EU PROJEKATA'!$Q$3:$Q$498,"=36")</f>
        <v>0</v>
      </c>
      <c r="G97" s="138">
        <f>SUMIFS('Plan rashoda za unos u SAP'!$K$3:$K$501,'Plan rashoda za unos u SAP'!$C$3:$C$501,"=31",'Plan rashoda za unos u SAP'!$N$3:$N$501,"=36")+SUMIFS('ANALITIKA EU PROJEKATA'!$I$3:$I$498,'ANALITIKA EU PROJEKATA'!$A$3:$A$498,"=31",'ANALITIKA EU PROJEKATA'!$Q$3:$Q$498,"=36")</f>
        <v>48000</v>
      </c>
      <c r="H97" s="138">
        <f>SUMIFS('Plan rashoda za unos u SAP'!$K$3:$K$501,'Plan rashoda za unos u SAP'!$C$3:$C$501,"=41",'Plan rashoda za unos u SAP'!$N$3:$N$501,"=36")+SUMIFS('ANALITIKA EU PROJEKATA'!$I$3:$I$498,'ANALITIKA EU PROJEKATA'!$A$3:$A$498,"=41",'ANALITIKA EU PROJEKATA'!$Q$3:$Q$498,"=36")</f>
        <v>0</v>
      </c>
      <c r="I97" s="138">
        <f>SUMIFS('Plan rashoda za unos u SAP'!$K$3:$K$501,'Plan rashoda za unos u SAP'!$C$3:$C$501,"=43",'Plan rashoda za unos u SAP'!$N$3:$N$501,"=36")+SUMIFS('ANALITIKA EU PROJEKATA'!$I$3:$I$498,'ANALITIKA EU PROJEKATA'!$A$3:$A$498,"=43",'ANALITIKA EU PROJEKATA'!$Q$3:$Q$498,"=36")</f>
        <v>198000</v>
      </c>
      <c r="J97" s="138">
        <f>SUMIFS('Plan rashoda za unos u SAP'!$K$3:$K$501,'Plan rashoda za unos u SAP'!$C$3:$C$501,"=51",'Plan rashoda za unos u SAP'!$N$3:$N$501,"=36")+SUMIFS('ANALITIKA EU PROJEKATA'!$I$3:$I$498,'ANALITIKA EU PROJEKATA'!$A$3:$A$498,"=51",'ANALITIKA EU PROJEKATA'!$Q$3:$Q$498,"=36")</f>
        <v>0</v>
      </c>
      <c r="K97" s="138">
        <f>SUMIFS('Plan rashoda za unos u SAP'!$K$3:$K$501,'Plan rashoda za unos u SAP'!$C$3:$C$501,"=52",'Plan rashoda za unos u SAP'!$N$3:$N$501,"=36")+SUMIFS('ANALITIKA EU PROJEKATA'!$I$3:$I$498,'ANALITIKA EU PROJEKATA'!$A$3:$A$498,"=52",'ANALITIKA EU PROJEKATA'!$Q$3:$Q$498,"=36")</f>
        <v>0</v>
      </c>
      <c r="L97" s="138">
        <f>SUMIFS('Plan rashoda za unos u SAP'!$K$3:$K$501,'Plan rashoda za unos u SAP'!$C$3:$C$501,"=552",'Plan rashoda za unos u SAP'!$N$3:$N$501,"=36")+SUMIFS('ANALITIKA EU PROJEKATA'!$I$3:$I$498,'ANALITIKA EU PROJEKATA'!$A$3:$A$498,"=552",'ANALITIKA EU PROJEKATA'!$Q$3:$Q$498,"=36")</f>
        <v>0</v>
      </c>
      <c r="M97" s="138">
        <f>SUMIFS('Plan rashoda za unos u SAP'!$K$3:$K$501,'Plan rashoda za unos u SAP'!$C$3:$C$501,"=559",'Plan rashoda za unos u SAP'!$N$3:$N$501,"=36")+SUMIFS('ANALITIKA EU PROJEKATA'!$I$3:$I$498,'ANALITIKA EU PROJEKATA'!$A$3:$A$498,"=559",'ANALITIKA EU PROJEKATA'!$Q$3:$Q$498,"=36")</f>
        <v>0</v>
      </c>
      <c r="N97" s="138">
        <f>SUMIFS('Plan rashoda za unos u SAP'!$K$3:$K$501,'Plan rashoda za unos u SAP'!$C$3:$C$501,"=561",'Plan rashoda za unos u SAP'!$N$3:$N$501,"=36")+SUMIFS('ANALITIKA EU PROJEKATA'!$I$3:$I$498,'ANALITIKA EU PROJEKATA'!$A$3:$A$498,"=561",'ANALITIKA EU PROJEKATA'!$Q$3:$Q$498,"=36")</f>
        <v>0</v>
      </c>
      <c r="O97" s="138">
        <f>SUMIFS('Plan rashoda za unos u SAP'!$K$3:$K$501,'Plan rashoda za unos u SAP'!$C$3:$C$501,"=563",'Plan rashoda za unos u SAP'!$N$3:$N$501,"=36")+SUMIFS('ANALITIKA EU PROJEKATA'!$I$3:$I$498,'ANALITIKA EU PROJEKATA'!$A$3:$A$498,"=563",'ANALITIKA EU PROJEKATA'!$Q$3:$Q$498,"=36")</f>
        <v>0</v>
      </c>
      <c r="P97" s="138">
        <f>SUMIFS('Plan rashoda za unos u SAP'!$K$3:$K$501,'Plan rashoda za unos u SAP'!$C$3:$C$501,"=573",'Plan rashoda za unos u SAP'!$N$3:$N$501,"=36")+SUMIFS('ANALITIKA EU PROJEKATA'!$I$3:$I$498,'ANALITIKA EU PROJEKATA'!$A$3:$A$498,"=573",'ANALITIKA EU PROJEKATA'!$Q$3:$Q$498,"=36")</f>
        <v>0</v>
      </c>
      <c r="Q97" s="138">
        <f>SUMIFS('Plan rashoda za unos u SAP'!$K$3:$K$501,'Plan rashoda za unos u SAP'!$C$3:$C$501,"=575",'Plan rashoda za unos u SAP'!$N$3:$N$501,"=36")+SUMIFS('ANALITIKA EU PROJEKATA'!$I$3:$I$498,'ANALITIKA EU PROJEKATA'!$A$3:$A$498,"=575",'ANALITIKA EU PROJEKATA'!$Q$3:$Q$498,"=36")</f>
        <v>0</v>
      </c>
      <c r="R97" s="138">
        <f>SUMIFS('Plan rashoda za unos u SAP'!$K$3:$K$501,'Plan rashoda za unos u SAP'!$C$3:$C$501,"=576",'Plan rashoda za unos u SAP'!$N$3:$N$501,"=36")+SUMIFS('ANALITIKA EU PROJEKATA'!$I$3:$I$498,'ANALITIKA EU PROJEKATA'!$A$3:$A$498,"=576",'ANALITIKA EU PROJEKATA'!$Q$3:$Q$498,"=36")</f>
        <v>0</v>
      </c>
      <c r="S97" s="138">
        <f>SUMIFS('Plan rashoda za unos u SAP'!$K$3:$K$501,'Plan rashoda za unos u SAP'!$C$3:$C$501,"=581",'Plan rashoda za unos u SAP'!$N$3:$N$501,"=36")+SUMIFS('ANALITIKA EU PROJEKATA'!$I$3:$I$498,'ANALITIKA EU PROJEKATA'!$A$3:$A$498,"=581",'ANALITIKA EU PROJEKATA'!$Q$3:$Q$498,"=36")</f>
        <v>0</v>
      </c>
      <c r="T97" s="138">
        <f>SUMIFS('Plan rashoda za unos u SAP'!$K$3:$K$501,'Plan rashoda za unos u SAP'!$C$3:$C$501,"=61",'Plan rashoda za unos u SAP'!$N$3:$N$501,"=36")+SUMIFS('ANALITIKA EU PROJEKATA'!$I$3:$I$498,'ANALITIKA EU PROJEKATA'!$A$3:$A$498,"=61",'ANALITIKA EU PROJEKATA'!$Q$3:$Q$498,"=36")</f>
        <v>0</v>
      </c>
      <c r="U97" s="138">
        <f>SUMIFS('Plan rashoda za unos u SAP'!$K$3:$K$501,'Plan rashoda za unos u SAP'!$C$3:$C$501,"=63",'Plan rashoda za unos u SAP'!$N$3:$N$501,"=36")+SUMIFS('ANALITIKA EU PROJEKATA'!$I$3:$I$498,'ANALITIKA EU PROJEKATA'!$A$3:$A$498,"=63",'ANALITIKA EU PROJEKATA'!$Q$3:$Q$498,"=36")</f>
        <v>0</v>
      </c>
      <c r="V97" s="138">
        <f>SUMIFS('Plan rashoda za unos u SAP'!$K$3:$K$501,'Plan rashoda za unos u SAP'!$C$3:$C$501,"=71",'Plan rashoda za unos u SAP'!$N$3:$N$501,"=36")+SUMIFS('ANALITIKA EU PROJEKATA'!$I$3:$I$498,'ANALITIKA EU PROJEKATA'!$A$3:$A$498,"=71",'ANALITIKA EU PROJEKATA'!$Q$3:$Q$498,"=36")</f>
        <v>0</v>
      </c>
      <c r="W97" s="138">
        <f>SUMIFS('Plan rashoda za unos u SAP'!$K$3:$K$501,'Plan rashoda za unos u SAP'!$C$3:$C$501,"=81",'Plan rashoda za unos u SAP'!$N$3:$N$501,"=36")+SUMIFS('ANALITIKA EU PROJEKATA'!$I$3:$I$498,'ANALITIKA EU PROJEKATA'!$A$3:$A$498,"=81",'ANALITIKA EU PROJEKATA'!$Q$3:$Q$498,"=36")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33000</v>
      </c>
      <c r="E98" s="138">
        <f>SUMIFS('Plan rashoda za unos u SAP'!$K$3:$K$501,'Plan rashoda za unos u SAP'!$C$3:$C$501,"=11",'Plan rashoda za unos u SAP'!$N$3:$N$501,"=37")+SUMIFS('ANALITIKA EU PROJEKATA'!$I$3:$I$498,'ANALITIKA EU PROJEKATA'!$A$3:$A$498,"=11",'ANALITIKA EU PROJEKATA'!$Q$3:$Q$498,"=37")</f>
        <v>33000</v>
      </c>
      <c r="F98" s="138">
        <f>SUMIFS('Plan rashoda za unos u SAP'!$K$3:$K$501,'Plan rashoda za unos u SAP'!$C$3:$C$501,"=12",'Plan rashoda za unos u SAP'!$N$3:$N$501,"=37")+SUMIFS('ANALITIKA EU PROJEKATA'!$I$3:$I$498,'ANALITIKA EU PROJEKATA'!$A$3:$A$498,"=12",'ANALITIKA EU PROJEKATA'!$Q$3:$Q$498,"=37")</f>
        <v>0</v>
      </c>
      <c r="G98" s="138">
        <f>SUMIFS('Plan rashoda za unos u SAP'!$K$3:$K$501,'Plan rashoda za unos u SAP'!$C$3:$C$501,"=31",'Plan rashoda za unos u SAP'!$N$3:$N$501,"=37")+SUMIFS('ANALITIKA EU PROJEKATA'!$I$3:$I$498,'ANALITIKA EU PROJEKATA'!$A$3:$A$498,"=31",'ANALITIKA EU PROJEKATA'!$Q$3:$Q$498,"=37")</f>
        <v>0</v>
      </c>
      <c r="H98" s="138">
        <f>SUMIFS('Plan rashoda za unos u SAP'!$K$3:$K$501,'Plan rashoda za unos u SAP'!$C$3:$C$501,"=41",'Plan rashoda za unos u SAP'!$N$3:$N$501,"=37")+SUMIFS('ANALITIKA EU PROJEKATA'!$I$3:$I$498,'ANALITIKA EU PROJEKATA'!$A$3:$A$498,"=41",'ANALITIKA EU PROJEKATA'!$Q$3:$Q$498,"=37")</f>
        <v>0</v>
      </c>
      <c r="I98" s="138">
        <f>SUMIFS('Plan rashoda za unos u SAP'!$K$3:$K$501,'Plan rashoda za unos u SAP'!$C$3:$C$501,"=43",'Plan rashoda za unos u SAP'!$N$3:$N$501,"=37")+SUMIFS('ANALITIKA EU PROJEKATA'!$I$3:$I$498,'ANALITIKA EU PROJEKATA'!$A$3:$A$498,"=43",'ANALITIKA EU PROJEKATA'!$Q$3:$Q$498,"=37")</f>
        <v>0</v>
      </c>
      <c r="J98" s="138">
        <f>SUMIFS('Plan rashoda za unos u SAP'!$K$3:$K$501,'Plan rashoda za unos u SAP'!$C$3:$C$501,"=51",'Plan rashoda za unos u SAP'!$N$3:$N$501,"=37")+SUMIFS('ANALITIKA EU PROJEKATA'!$I$3:$I$498,'ANALITIKA EU PROJEKATA'!$A$3:$A$498,"=51",'ANALITIKA EU PROJEKATA'!$Q$3:$Q$498,"=37")</f>
        <v>0</v>
      </c>
      <c r="K98" s="138">
        <f>SUMIFS('Plan rashoda za unos u SAP'!$K$3:$K$501,'Plan rashoda za unos u SAP'!$C$3:$C$501,"=52",'Plan rashoda za unos u SAP'!$N$3:$N$501,"=37")+SUMIFS('ANALITIKA EU PROJEKATA'!$I$3:$I$498,'ANALITIKA EU PROJEKATA'!$A$3:$A$498,"=52",'ANALITIKA EU PROJEKATA'!$Q$3:$Q$498,"=37")</f>
        <v>0</v>
      </c>
      <c r="L98" s="138">
        <f>SUMIFS('Plan rashoda za unos u SAP'!$K$3:$K$501,'Plan rashoda za unos u SAP'!$C$3:$C$501,"=552",'Plan rashoda za unos u SAP'!$N$3:$N$501,"=37")+SUMIFS('ANALITIKA EU PROJEKATA'!$I$3:$I$498,'ANALITIKA EU PROJEKATA'!$A$3:$A$498,"=552",'ANALITIKA EU PROJEKATA'!$Q$3:$Q$498,"=37")</f>
        <v>0</v>
      </c>
      <c r="M98" s="138">
        <f>SUMIFS('Plan rashoda za unos u SAP'!$K$3:$K$501,'Plan rashoda za unos u SAP'!$C$3:$C$501,"=559",'Plan rashoda za unos u SAP'!$N$3:$N$501,"=37")+SUMIFS('ANALITIKA EU PROJEKATA'!$I$3:$I$498,'ANALITIKA EU PROJEKATA'!$A$3:$A$498,"=559",'ANALITIKA EU PROJEKATA'!$Q$3:$Q$498,"=37")</f>
        <v>0</v>
      </c>
      <c r="N98" s="138">
        <f>SUMIFS('Plan rashoda za unos u SAP'!$K$3:$K$501,'Plan rashoda za unos u SAP'!$C$3:$C$501,"=561",'Plan rashoda za unos u SAP'!$N$3:$N$501,"=37")+SUMIFS('ANALITIKA EU PROJEKATA'!$I$3:$I$498,'ANALITIKA EU PROJEKATA'!$A$3:$A$498,"=561",'ANALITIKA EU PROJEKATA'!$Q$3:$Q$498,"=37")</f>
        <v>0</v>
      </c>
      <c r="O98" s="138">
        <f>SUMIFS('Plan rashoda za unos u SAP'!$K$3:$K$501,'Plan rashoda za unos u SAP'!$C$3:$C$501,"=563",'Plan rashoda za unos u SAP'!$N$3:$N$501,"=37")+SUMIFS('ANALITIKA EU PROJEKATA'!$I$3:$I$498,'ANALITIKA EU PROJEKATA'!$A$3:$A$498,"=563",'ANALITIKA EU PROJEKATA'!$Q$3:$Q$498,"=37")</f>
        <v>0</v>
      </c>
      <c r="P98" s="138">
        <f>SUMIFS('Plan rashoda za unos u SAP'!$K$3:$K$501,'Plan rashoda za unos u SAP'!$C$3:$C$501,"=573",'Plan rashoda za unos u SAP'!$N$3:$N$501,"=37")+SUMIFS('ANALITIKA EU PROJEKATA'!$I$3:$I$498,'ANALITIKA EU PROJEKATA'!$A$3:$A$498,"=573",'ANALITIKA EU PROJEKATA'!$Q$3:$Q$498,"=37")</f>
        <v>0</v>
      </c>
      <c r="Q98" s="138">
        <f>SUMIFS('Plan rashoda za unos u SAP'!$K$3:$K$501,'Plan rashoda za unos u SAP'!$C$3:$C$501,"=575",'Plan rashoda za unos u SAP'!$N$3:$N$501,"=37")+SUMIFS('ANALITIKA EU PROJEKATA'!$I$3:$I$498,'ANALITIKA EU PROJEKATA'!$A$3:$A$498,"=575",'ANALITIKA EU PROJEKATA'!$Q$3:$Q$498,"=37")</f>
        <v>0</v>
      </c>
      <c r="R98" s="138">
        <f>SUMIFS('Plan rashoda za unos u SAP'!$K$3:$K$501,'Plan rashoda za unos u SAP'!$C$3:$C$501,"=576",'Plan rashoda za unos u SAP'!$N$3:$N$501,"=37")+SUMIFS('ANALITIKA EU PROJEKATA'!$I$3:$I$498,'ANALITIKA EU PROJEKATA'!$A$3:$A$498,"=576",'ANALITIKA EU PROJEKATA'!$Q$3:$Q$498,"=37")</f>
        <v>0</v>
      </c>
      <c r="S98" s="138">
        <f>SUMIFS('Plan rashoda za unos u SAP'!$K$3:$K$501,'Plan rashoda za unos u SAP'!$C$3:$C$501,"=581",'Plan rashoda za unos u SAP'!$N$3:$N$501,"=37")+SUMIFS('ANALITIKA EU PROJEKATA'!$I$3:$I$498,'ANALITIKA EU PROJEKATA'!$A$3:$A$498,"=581",'ANALITIKA EU PROJEKATA'!$Q$3:$Q$498,"=37")</f>
        <v>0</v>
      </c>
      <c r="T98" s="138">
        <f>SUMIFS('Plan rashoda za unos u SAP'!$K$3:$K$501,'Plan rashoda za unos u SAP'!$C$3:$C$501,"=61",'Plan rashoda za unos u SAP'!$N$3:$N$501,"=37")+SUMIFS('ANALITIKA EU PROJEKATA'!$I$3:$I$498,'ANALITIKA EU PROJEKATA'!$A$3:$A$498,"=61",'ANALITIKA EU PROJEKATA'!$Q$3:$Q$498,"=37")</f>
        <v>0</v>
      </c>
      <c r="U98" s="138">
        <f>SUMIFS('Plan rashoda za unos u SAP'!$K$3:$K$501,'Plan rashoda za unos u SAP'!$C$3:$C$501,"=63",'Plan rashoda za unos u SAP'!$N$3:$N$501,"=37")+SUMIFS('ANALITIKA EU PROJEKATA'!$I$3:$I$498,'ANALITIKA EU PROJEKATA'!$A$3:$A$498,"=63",'ANALITIKA EU PROJEKATA'!$Q$3:$Q$498,"=37")</f>
        <v>0</v>
      </c>
      <c r="V98" s="138">
        <f>SUMIFS('Plan rashoda za unos u SAP'!$K$3:$K$501,'Plan rashoda za unos u SAP'!$C$3:$C$501,"=71",'Plan rashoda za unos u SAP'!$N$3:$N$501,"=37")+SUMIFS('ANALITIKA EU PROJEKATA'!$I$3:$I$498,'ANALITIKA EU PROJEKATA'!$A$3:$A$498,"=71",'ANALITIKA EU PROJEKATA'!$Q$3:$Q$498,"=37")</f>
        <v>0</v>
      </c>
      <c r="W98" s="138">
        <f>SUMIFS('Plan rashoda za unos u SAP'!$K$3:$K$501,'Plan rashoda za unos u SAP'!$C$3:$C$501,"=81",'Plan rashoda za unos u SAP'!$N$3:$N$501,"=37")+SUMIFS('ANALITIKA EU PROJEKATA'!$I$3:$I$498,'ANALITIKA EU PROJEKATA'!$A$3:$A$498,"=81",'ANALITIKA EU PROJEKATA'!$Q$3:$Q$498,"=37")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PROJEKATA'!$I$3:$I$498,'ANALITIKA EU PROJEKATA'!$A$3:$A$498,"=11",'ANALITIKA EU PROJEKATA'!$Q$3:$Q$498,"=38")</f>
        <v>0</v>
      </c>
      <c r="F99" s="138">
        <f>SUMIFS('Plan rashoda za unos u SAP'!$K$3:$K$501,'Plan rashoda za unos u SAP'!$C$3:$C$501,"=12",'Plan rashoda za unos u SAP'!$N$3:$N$501,"=38")+SUMIFS('ANALITIKA EU PROJEKATA'!$I$3:$I$498,'ANALITIKA EU PROJEKATA'!$A$3:$A$498,"=12",'ANALITIKA EU PROJEKATA'!$Q$3:$Q$498,"=38")</f>
        <v>0</v>
      </c>
      <c r="G99" s="138">
        <f>SUMIFS('Plan rashoda za unos u SAP'!$K$3:$K$501,'Plan rashoda za unos u SAP'!$C$3:$C$501,"=31",'Plan rashoda za unos u SAP'!$N$3:$N$501,"=38")+SUMIFS('ANALITIKA EU PROJEKATA'!$I$3:$I$498,'ANALITIKA EU PROJEKATA'!$A$3:$A$498,"=31",'ANALITIKA EU PROJEKATA'!$Q$3:$Q$498,"=38")</f>
        <v>0</v>
      </c>
      <c r="H99" s="138">
        <f>SUMIFS('Plan rashoda za unos u SAP'!$K$3:$K$501,'Plan rashoda za unos u SAP'!$C$3:$C$501,"=41",'Plan rashoda za unos u SAP'!$N$3:$N$501,"=38")+SUMIFS('ANALITIKA EU PROJEKATA'!$I$3:$I$498,'ANALITIKA EU PROJEKATA'!$A$3:$A$498,"=41",'ANALITIKA EU PROJEKATA'!$Q$3:$Q$498,"=38")</f>
        <v>0</v>
      </c>
      <c r="I99" s="138">
        <f>SUMIFS('Plan rashoda za unos u SAP'!$K$3:$K$501,'Plan rashoda za unos u SAP'!$C$3:$C$501,"=43",'Plan rashoda za unos u SAP'!$N$3:$N$501,"=38")+SUMIFS('ANALITIKA EU PROJEKATA'!$I$3:$I$498,'ANALITIKA EU PROJEKATA'!$A$3:$A$498,"=43",'ANALITIKA EU PROJEKATA'!$Q$3:$Q$498,"=38")</f>
        <v>0</v>
      </c>
      <c r="J99" s="138">
        <f>SUMIFS('Plan rashoda za unos u SAP'!$K$3:$K$501,'Plan rashoda za unos u SAP'!$C$3:$C$501,"=51",'Plan rashoda za unos u SAP'!$N$3:$N$501,"=38")+SUMIFS('ANALITIKA EU PROJEKATA'!$I$3:$I$498,'ANALITIKA EU PROJEKATA'!$A$3:$A$498,"=51",'ANALITIKA EU PROJEKATA'!$Q$3:$Q$498,"=38")</f>
        <v>0</v>
      </c>
      <c r="K99" s="138">
        <f>SUMIFS('Plan rashoda za unos u SAP'!$K$3:$K$501,'Plan rashoda za unos u SAP'!$C$3:$C$501,"=52",'Plan rashoda za unos u SAP'!$N$3:$N$501,"=38")+SUMIFS('ANALITIKA EU PROJEKATA'!$I$3:$I$498,'ANALITIKA EU PROJEKATA'!$A$3:$A$498,"=52",'ANALITIKA EU PROJEKATA'!$Q$3:$Q$498,"=38")</f>
        <v>0</v>
      </c>
      <c r="L99" s="138">
        <f>SUMIFS('Plan rashoda za unos u SAP'!$K$3:$K$501,'Plan rashoda za unos u SAP'!$C$3:$C$501,"=552",'Plan rashoda za unos u SAP'!$N$3:$N$501,"=38")+SUMIFS('ANALITIKA EU PROJEKATA'!$I$3:$I$498,'ANALITIKA EU PROJEKATA'!$A$3:$A$498,"=552",'ANALITIKA EU PROJEKATA'!$Q$3:$Q$498,"=38")</f>
        <v>0</v>
      </c>
      <c r="M99" s="138">
        <f>SUMIFS('Plan rashoda za unos u SAP'!$K$3:$K$501,'Plan rashoda za unos u SAP'!$C$3:$C$501,"=559",'Plan rashoda za unos u SAP'!$N$3:$N$501,"=38")+SUMIFS('ANALITIKA EU PROJEKATA'!$I$3:$I$498,'ANALITIKA EU PROJEKATA'!$A$3:$A$498,"=559",'ANALITIKA EU PROJEKATA'!$Q$3:$Q$498,"=38")</f>
        <v>0</v>
      </c>
      <c r="N99" s="138">
        <f>SUMIFS('Plan rashoda za unos u SAP'!$K$3:$K$501,'Plan rashoda za unos u SAP'!$C$3:$C$501,"=561",'Plan rashoda za unos u SAP'!$N$3:$N$501,"=38")+SUMIFS('ANALITIKA EU PROJEKATA'!$I$3:$I$498,'ANALITIKA EU PROJEKATA'!$A$3:$A$498,"=561",'ANALITIKA EU PROJEKATA'!$Q$3:$Q$498,"=38")</f>
        <v>0</v>
      </c>
      <c r="O99" s="138">
        <f>SUMIFS('Plan rashoda za unos u SAP'!$K$3:$K$501,'Plan rashoda za unos u SAP'!$C$3:$C$501,"=563",'Plan rashoda za unos u SAP'!$N$3:$N$501,"=38")+SUMIFS('ANALITIKA EU PROJEKATA'!$I$3:$I$498,'ANALITIKA EU PROJEKATA'!$A$3:$A$498,"=563",'ANALITIKA EU PROJEKATA'!$Q$3:$Q$498,"=38")</f>
        <v>0</v>
      </c>
      <c r="P99" s="138">
        <f>SUMIFS('Plan rashoda za unos u SAP'!$K$3:$K$501,'Plan rashoda za unos u SAP'!$C$3:$C$501,"=573",'Plan rashoda za unos u SAP'!$N$3:$N$501,"=38")+SUMIFS('ANALITIKA EU PROJEKATA'!$I$3:$I$498,'ANALITIKA EU PROJEKATA'!$A$3:$A$498,"=573",'ANALITIKA EU PROJEKATA'!$Q$3:$Q$498,"=38")</f>
        <v>0</v>
      </c>
      <c r="Q99" s="138">
        <f>SUMIFS('Plan rashoda za unos u SAP'!$K$3:$K$501,'Plan rashoda za unos u SAP'!$C$3:$C$501,"=575",'Plan rashoda za unos u SAP'!$N$3:$N$501,"=38")+SUMIFS('ANALITIKA EU PROJEKATA'!$I$3:$I$498,'ANALITIKA EU PROJEKATA'!$A$3:$A$498,"=575",'ANALITIKA EU PROJEKATA'!$Q$3:$Q$498,"=38")</f>
        <v>0</v>
      </c>
      <c r="R99" s="138">
        <f>SUMIFS('Plan rashoda za unos u SAP'!$K$3:$K$501,'Plan rashoda za unos u SAP'!$C$3:$C$501,"=576",'Plan rashoda za unos u SAP'!$N$3:$N$501,"=38")+SUMIFS('ANALITIKA EU PROJEKATA'!$I$3:$I$498,'ANALITIKA EU PROJEKATA'!$A$3:$A$498,"=576",'ANALITIKA EU PROJEKATA'!$Q$3:$Q$498,"=38")</f>
        <v>0</v>
      </c>
      <c r="S99" s="138">
        <f>SUMIFS('Plan rashoda za unos u SAP'!$K$3:$K$501,'Plan rashoda za unos u SAP'!$C$3:$C$501,"=581",'Plan rashoda za unos u SAP'!$N$3:$N$501,"=38")+SUMIFS('ANALITIKA EU PROJEKATA'!$I$3:$I$498,'ANALITIKA EU PROJEKATA'!$A$3:$A$498,"=581",'ANALITIKA EU PROJEKATA'!$Q$3:$Q$498,"=38")</f>
        <v>0</v>
      </c>
      <c r="T99" s="138">
        <f>SUMIFS('Plan rashoda za unos u SAP'!$K$3:$K$501,'Plan rashoda za unos u SAP'!$C$3:$C$501,"=61",'Plan rashoda za unos u SAP'!$N$3:$N$501,"=38")+SUMIFS('ANALITIKA EU PROJEKATA'!$I$3:$I$498,'ANALITIKA EU PROJEKATA'!$A$3:$A$498,"=61",'ANALITIKA EU PROJEKATA'!$Q$3:$Q$498,"=38")</f>
        <v>0</v>
      </c>
      <c r="U99" s="138">
        <f>SUMIFS('Plan rashoda za unos u SAP'!$K$3:$K$501,'Plan rashoda za unos u SAP'!$C$3:$C$501,"=63",'Plan rashoda za unos u SAP'!$N$3:$N$501,"=38")+SUMIFS('ANALITIKA EU PROJEKATA'!$I$3:$I$498,'ANALITIKA EU PROJEKATA'!$A$3:$A$498,"=63",'ANALITIKA EU PROJEKATA'!$Q$3:$Q$498,"=38")</f>
        <v>0</v>
      </c>
      <c r="V99" s="138">
        <f>SUMIFS('Plan rashoda za unos u SAP'!$K$3:$K$501,'Plan rashoda za unos u SAP'!$C$3:$C$501,"=71",'Plan rashoda za unos u SAP'!$N$3:$N$501,"=38")+SUMIFS('ANALITIKA EU PROJEKATA'!$I$3:$I$498,'ANALITIKA EU PROJEKATA'!$A$3:$A$498,"=71",'ANALITIKA EU PROJEKATA'!$Q$3:$Q$498,"=38")</f>
        <v>0</v>
      </c>
      <c r="W99" s="138">
        <f>SUMIFS('Plan rashoda za unos u SAP'!$K$3:$K$501,'Plan rashoda za unos u SAP'!$C$3:$C$501,"=81",'Plan rashoda za unos u SAP'!$N$3:$N$501,"=38")+SUMIFS('ANALITIKA EU PROJEKATA'!$I$3:$I$498,'ANALITIKA EU PROJEKATA'!$A$3:$A$498,"=81",'ANALITIKA EU PROJEKATA'!$Q$3:$Q$498,"=38")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265300</v>
      </c>
      <c r="E100" s="131">
        <f t="shared" ref="E100:G100" si="33">SUM(E101:E105)</f>
        <v>195000</v>
      </c>
      <c r="F100" s="131">
        <f t="shared" si="33"/>
        <v>0</v>
      </c>
      <c r="G100" s="131">
        <f t="shared" si="33"/>
        <v>34100</v>
      </c>
      <c r="H100" s="131">
        <f>SUM(H101:H105)</f>
        <v>0</v>
      </c>
      <c r="I100" s="131">
        <f t="shared" ref="I100:K100" si="34">SUM(I101:I105)</f>
        <v>23200</v>
      </c>
      <c r="J100" s="131">
        <f t="shared" si="34"/>
        <v>0</v>
      </c>
      <c r="K100" s="131">
        <f t="shared" si="34"/>
        <v>13000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10600</v>
      </c>
      <c r="E101" s="138">
        <f>SUMIFS('Plan rashoda za unos u SAP'!$K$3:$K$501,'Plan rashoda za unos u SAP'!$C$3:$C$501,"=11",'Plan rashoda za unos u SAP'!$N$3:$N$501,"=41")+SUMIFS('ANALITIKA EU PROJEKATA'!$I$3:$I$498,'ANALITIKA EU PROJEKATA'!$A$3:$A$498,"=11",'ANALITIKA EU PROJEKATA'!$Q$3:$Q$498,"=41")</f>
        <v>0</v>
      </c>
      <c r="F101" s="138">
        <f>SUMIFS('Plan rashoda za unos u SAP'!$K$3:$K$501,'Plan rashoda za unos u SAP'!$C$3:$C$501,"=12",'Plan rashoda za unos u SAP'!$N$3:$N$501,"=41")+SUMIFS('ANALITIKA EU PROJEKATA'!$I$3:$I$498,'ANALITIKA EU PROJEKATA'!$A$3:$A$498,"=12",'ANALITIKA EU PROJEKATA'!$Q$3:$Q$498,"=41")</f>
        <v>0</v>
      </c>
      <c r="G101" s="138">
        <f>SUMIFS('Plan rashoda za unos u SAP'!$K$3:$K$501,'Plan rashoda za unos u SAP'!$C$3:$C$501,"=31",'Plan rashoda za unos u SAP'!$N$3:$N$501,"=41")+SUMIFS('ANALITIKA EU PROJEKATA'!$I$3:$I$498,'ANALITIKA EU PROJEKATA'!$A$3:$A$498,"=31",'ANALITIKA EU PROJEKATA'!$Q$3:$Q$498,"=41")</f>
        <v>2900</v>
      </c>
      <c r="H101" s="138">
        <f>SUMIFS('Plan rashoda za unos u SAP'!$K$3:$K$501,'Plan rashoda za unos u SAP'!$C$3:$C$501,"=41",'Plan rashoda za unos u SAP'!$N$3:$N$501,"=41")+SUMIFS('ANALITIKA EU PROJEKATA'!$I$3:$I$498,'ANALITIKA EU PROJEKATA'!$A$3:$A$498,"=41",'ANALITIKA EU PROJEKATA'!$Q$3:$Q$498,"=41")</f>
        <v>0</v>
      </c>
      <c r="I101" s="138">
        <f>SUMIFS('Plan rashoda za unos u SAP'!$K$3:$K$501,'Plan rashoda za unos u SAP'!$C$3:$C$501,"=43",'Plan rashoda za unos u SAP'!$N$3:$N$501,"=41")+SUMIFS('ANALITIKA EU PROJEKATA'!$I$3:$I$498,'ANALITIKA EU PROJEKATA'!$A$3:$A$498,"=43",'ANALITIKA EU PROJEKATA'!$Q$3:$Q$498,"=41")</f>
        <v>7700</v>
      </c>
      <c r="J101" s="138">
        <f>SUMIFS('Plan rashoda za unos u SAP'!$K$3:$K$501,'Plan rashoda za unos u SAP'!$C$3:$C$501,"=51",'Plan rashoda za unos u SAP'!$N$3:$N$501,"=41")+SUMIFS('ANALITIKA EU PROJEKATA'!$I$3:$I$498,'ANALITIKA EU PROJEKATA'!$A$3:$A$498,"=51",'ANALITIKA EU PROJEKATA'!$Q$3:$Q$498,"=41")</f>
        <v>0</v>
      </c>
      <c r="K101" s="138">
        <f>SUMIFS('Plan rashoda za unos u SAP'!$K$3:$K$501,'Plan rashoda za unos u SAP'!$C$3:$C$501,"=52",'Plan rashoda za unos u SAP'!$N$3:$N$501,"=41")+SUMIFS('ANALITIKA EU PROJEKATA'!$I$3:$I$498,'ANALITIKA EU PROJEKATA'!$A$3:$A$498,"=52",'ANALITIKA EU PROJEKATA'!$Q$3:$Q$498,"=41")</f>
        <v>0</v>
      </c>
      <c r="L101" s="138">
        <f>SUMIFS('Plan rashoda za unos u SAP'!$K$3:$K$501,'Plan rashoda za unos u SAP'!$C$3:$C$501,"=552",'Plan rashoda za unos u SAP'!$N$3:$N$501,"=41")+SUMIFS('ANALITIKA EU PROJEKATA'!$I$3:$I$498,'ANALITIKA EU PROJEKATA'!$A$3:$A$498,"=552",'ANALITIKA EU PROJEKATA'!$Q$3:$Q$498,"=41")</f>
        <v>0</v>
      </c>
      <c r="M101" s="138">
        <f>SUMIFS('Plan rashoda za unos u SAP'!$K$3:$K$501,'Plan rashoda za unos u SAP'!$C$3:$C$501,"=559",'Plan rashoda za unos u SAP'!$N$3:$N$501,"=41")+SUMIFS('ANALITIKA EU PROJEKATA'!$I$3:$I$498,'ANALITIKA EU PROJEKATA'!$A$3:$A$498,"=559",'ANALITIKA EU PROJEKATA'!$Q$3:$Q$498,"=41")</f>
        <v>0</v>
      </c>
      <c r="N101" s="138">
        <f>SUMIFS('Plan rashoda za unos u SAP'!$K$3:$K$501,'Plan rashoda za unos u SAP'!$C$3:$C$501,"=561",'Plan rashoda za unos u SAP'!$N$3:$N$501,"=41")+SUMIFS('ANALITIKA EU PROJEKATA'!$I$3:$I$498,'ANALITIKA EU PROJEKATA'!$A$3:$A$498,"=561",'ANALITIKA EU PROJEKATA'!$Q$3:$Q$498,"=41")</f>
        <v>0</v>
      </c>
      <c r="O101" s="138">
        <f>SUMIFS('Plan rashoda za unos u SAP'!$K$3:$K$501,'Plan rashoda za unos u SAP'!$C$3:$C$501,"=563",'Plan rashoda za unos u SAP'!$N$3:$N$501,"=41")+SUMIFS('ANALITIKA EU PROJEKATA'!$I$3:$I$498,'ANALITIKA EU PROJEKATA'!$A$3:$A$498,"=563",'ANALITIKA EU PROJEKATA'!$Q$3:$Q$498,"=41")</f>
        <v>0</v>
      </c>
      <c r="P101" s="138">
        <f>SUMIFS('Plan rashoda za unos u SAP'!$K$3:$K$501,'Plan rashoda za unos u SAP'!$C$3:$C$501,"=573",'Plan rashoda za unos u SAP'!$N$3:$N$501,"=41")+SUMIFS('ANALITIKA EU PROJEKATA'!$I$3:$I$498,'ANALITIKA EU PROJEKATA'!$A$3:$A$498,"=573",'ANALITIKA EU PROJEKATA'!$Q$3:$Q$498,"=41")</f>
        <v>0</v>
      </c>
      <c r="Q101" s="138">
        <f>SUMIFS('Plan rashoda za unos u SAP'!$K$3:$K$501,'Plan rashoda za unos u SAP'!$C$3:$C$501,"=575",'Plan rashoda za unos u SAP'!$N$3:$N$501,"=41")+SUMIFS('ANALITIKA EU PROJEKATA'!$I$3:$I$498,'ANALITIKA EU PROJEKATA'!$A$3:$A$498,"=575",'ANALITIKA EU PROJEKATA'!$Q$3:$Q$498,"=41")</f>
        <v>0</v>
      </c>
      <c r="R101" s="138">
        <f>SUMIFS('Plan rashoda za unos u SAP'!$K$3:$K$501,'Plan rashoda za unos u SAP'!$C$3:$C$501,"=576",'Plan rashoda za unos u SAP'!$N$3:$N$501,"=41")+SUMIFS('ANALITIKA EU PROJEKATA'!$I$3:$I$498,'ANALITIKA EU PROJEKATA'!$A$3:$A$498,"=576",'ANALITIKA EU PROJEKATA'!$Q$3:$Q$498,"=41")</f>
        <v>0</v>
      </c>
      <c r="S101" s="138">
        <f>SUMIFS('Plan rashoda za unos u SAP'!$K$3:$K$501,'Plan rashoda za unos u SAP'!$C$3:$C$501,"=581",'Plan rashoda za unos u SAP'!$N$3:$N$501,"=41")+SUMIFS('ANALITIKA EU PROJEKATA'!$I$3:$I$498,'ANALITIKA EU PROJEKATA'!$A$3:$A$498,"=581",'ANALITIKA EU PROJEKATA'!$Q$3:$Q$498,"=41")</f>
        <v>0</v>
      </c>
      <c r="T101" s="138">
        <f>SUMIFS('Plan rashoda za unos u SAP'!$K$3:$K$501,'Plan rashoda za unos u SAP'!$C$3:$C$501,"=61",'Plan rashoda za unos u SAP'!$N$3:$N$501,"=41")+SUMIFS('ANALITIKA EU PROJEKATA'!$I$3:$I$498,'ANALITIKA EU PROJEKATA'!$A$3:$A$498,"=61",'ANALITIKA EU PROJEKATA'!$Q$3:$Q$498,"=41")</f>
        <v>0</v>
      </c>
      <c r="U101" s="138">
        <f>SUMIFS('Plan rashoda za unos u SAP'!$K$3:$K$501,'Plan rashoda za unos u SAP'!$C$3:$C$501,"=63",'Plan rashoda za unos u SAP'!$N$3:$N$501,"=41")+SUMIFS('ANALITIKA EU PROJEKATA'!$I$3:$I$498,'ANALITIKA EU PROJEKATA'!$A$3:$A$498,"=63",'ANALITIKA EU PROJEKATA'!$Q$3:$Q$498,"=41")</f>
        <v>0</v>
      </c>
      <c r="V101" s="138">
        <f>SUMIFS('Plan rashoda za unos u SAP'!$K$3:$K$501,'Plan rashoda za unos u SAP'!$C$3:$C$501,"=71",'Plan rashoda za unos u SAP'!$N$3:$N$501,"=41")+SUMIFS('ANALITIKA EU PROJEKATA'!$I$3:$I$498,'ANALITIKA EU PROJEKATA'!$A$3:$A$498,"=71",'ANALITIKA EU PROJEKATA'!$Q$3:$Q$498,"=41")</f>
        <v>0</v>
      </c>
      <c r="W101" s="138">
        <f>SUMIFS('Plan rashoda za unos u SAP'!$K$3:$K$501,'Plan rashoda za unos u SAP'!$C$3:$C$501,"=81",'Plan rashoda za unos u SAP'!$N$3:$N$501,"=41")+SUMIFS('ANALITIKA EU PROJEKATA'!$I$3:$I$498,'ANALITIKA EU PROJEKATA'!$A$3:$A$498,"=81",'ANALITIKA EU PROJEKATA'!$Q$3:$Q$498,"=41")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254700</v>
      </c>
      <c r="E102" s="138">
        <f>SUMIFS('Plan rashoda za unos u SAP'!$K$3:$K$501,'Plan rashoda za unos u SAP'!$C$3:$C$501,"=11",'Plan rashoda za unos u SAP'!$N$3:$N$501,"=42")+SUMIFS('ANALITIKA EU PROJEKATA'!$I$3:$I$498,'ANALITIKA EU PROJEKATA'!$A$3:$A$498,"=11",'ANALITIKA EU PROJEKATA'!$Q$3:$Q$498,"=42")</f>
        <v>195000</v>
      </c>
      <c r="F102" s="138">
        <f>SUMIFS('Plan rashoda za unos u SAP'!$K$3:$K$501,'Plan rashoda za unos u SAP'!$C$3:$C$501,"=12",'Plan rashoda za unos u SAP'!$N$3:$N$501,"=42")+SUMIFS('ANALITIKA EU PROJEKATA'!$I$3:$I$498,'ANALITIKA EU PROJEKATA'!$A$3:$A$498,"=12",'ANALITIKA EU PROJEKATA'!$Q$3:$Q$498,"=42")</f>
        <v>0</v>
      </c>
      <c r="G102" s="138">
        <f>SUMIFS('Plan rashoda za unos u SAP'!$K$3:$K$501,'Plan rashoda za unos u SAP'!$C$3:$C$501,"=31",'Plan rashoda za unos u SAP'!$N$3:$N$501,"=42")+SUMIFS('ANALITIKA EU PROJEKATA'!$I$3:$I$498,'ANALITIKA EU PROJEKATA'!$A$3:$A$498,"=31",'ANALITIKA EU PROJEKATA'!$Q$3:$Q$498,"=42")</f>
        <v>31200</v>
      </c>
      <c r="H102" s="138">
        <f>SUMIFS('Plan rashoda za unos u SAP'!$K$3:$K$501,'Plan rashoda za unos u SAP'!$C$3:$C$501,"=41",'Plan rashoda za unos u SAP'!$N$3:$N$501,"=42")+SUMIFS('ANALITIKA EU PROJEKATA'!$I$3:$I$498,'ANALITIKA EU PROJEKATA'!$A$3:$A$498,"=41",'ANALITIKA EU PROJEKATA'!$Q$3:$Q$498,"=42")</f>
        <v>0</v>
      </c>
      <c r="I102" s="138">
        <f>SUMIFS('Plan rashoda za unos u SAP'!$K$3:$K$501,'Plan rashoda za unos u SAP'!$C$3:$C$501,"=43",'Plan rashoda za unos u SAP'!$N$3:$N$501,"=42")+SUMIFS('ANALITIKA EU PROJEKATA'!$I$3:$I$498,'ANALITIKA EU PROJEKATA'!$A$3:$A$498,"=43",'ANALITIKA EU PROJEKATA'!$Q$3:$Q$498,"=42")</f>
        <v>15500</v>
      </c>
      <c r="J102" s="138">
        <f>SUMIFS('Plan rashoda za unos u SAP'!$K$3:$K$501,'Plan rashoda za unos u SAP'!$C$3:$C$501,"=51",'Plan rashoda za unos u SAP'!$N$3:$N$501,"=42")+SUMIFS('ANALITIKA EU PROJEKATA'!$I$3:$I$498,'ANALITIKA EU PROJEKATA'!$A$3:$A$498,"=51",'ANALITIKA EU PROJEKATA'!$Q$3:$Q$498,"=42")</f>
        <v>0</v>
      </c>
      <c r="K102" s="138">
        <f>SUMIFS('Plan rashoda za unos u SAP'!$K$3:$K$501,'Plan rashoda za unos u SAP'!$C$3:$C$501,"=52",'Plan rashoda za unos u SAP'!$N$3:$N$501,"=42")+SUMIFS('ANALITIKA EU PROJEKATA'!$I$3:$I$498,'ANALITIKA EU PROJEKATA'!$A$3:$A$498,"=52",'ANALITIKA EU PROJEKATA'!$Q$3:$Q$498,"=42")</f>
        <v>13000</v>
      </c>
      <c r="L102" s="138">
        <f>SUMIFS('Plan rashoda za unos u SAP'!$K$3:$K$501,'Plan rashoda za unos u SAP'!$C$3:$C$501,"=552",'Plan rashoda za unos u SAP'!$N$3:$N$501,"=42")+SUMIFS('ANALITIKA EU PROJEKATA'!$I$3:$I$498,'ANALITIKA EU PROJEKATA'!$A$3:$A$498,"=552",'ANALITIKA EU PROJEKATA'!$Q$3:$Q$498,"=42")</f>
        <v>0</v>
      </c>
      <c r="M102" s="138">
        <f>SUMIFS('Plan rashoda za unos u SAP'!$K$3:$K$501,'Plan rashoda za unos u SAP'!$C$3:$C$501,"=559",'Plan rashoda za unos u SAP'!$N$3:$N$501,"=42")+SUMIFS('ANALITIKA EU PROJEKATA'!$I$3:$I$498,'ANALITIKA EU PROJEKATA'!$A$3:$A$498,"=559",'ANALITIKA EU PROJEKATA'!$Q$3:$Q$498,"=42")</f>
        <v>0</v>
      </c>
      <c r="N102" s="138">
        <f>SUMIFS('Plan rashoda za unos u SAP'!$K$3:$K$501,'Plan rashoda za unos u SAP'!$C$3:$C$501,"=561",'Plan rashoda za unos u SAP'!$N$3:$N$501,"=42")+SUMIFS('ANALITIKA EU PROJEKATA'!$I$3:$I$498,'ANALITIKA EU PROJEKATA'!$A$3:$A$498,"=561",'ANALITIKA EU PROJEKATA'!$Q$3:$Q$498,"=42")</f>
        <v>0</v>
      </c>
      <c r="O102" s="138">
        <f>SUMIFS('Plan rashoda za unos u SAP'!$K$3:$K$501,'Plan rashoda za unos u SAP'!$C$3:$C$501,"=563",'Plan rashoda za unos u SAP'!$N$3:$N$501,"=42")+SUMIFS('ANALITIKA EU PROJEKATA'!$I$3:$I$498,'ANALITIKA EU PROJEKATA'!$A$3:$A$498,"=563",'ANALITIKA EU PROJEKATA'!$Q$3:$Q$498,"=42")</f>
        <v>0</v>
      </c>
      <c r="P102" s="138">
        <f>SUMIFS('Plan rashoda za unos u SAP'!$K$3:$K$501,'Plan rashoda za unos u SAP'!$C$3:$C$501,"=573",'Plan rashoda za unos u SAP'!$N$3:$N$501,"=42")+SUMIFS('ANALITIKA EU PROJEKATA'!$I$3:$I$498,'ANALITIKA EU PROJEKATA'!$A$3:$A$498,"=573",'ANALITIKA EU PROJEKATA'!$Q$3:$Q$498,"=42")</f>
        <v>0</v>
      </c>
      <c r="Q102" s="138">
        <f>SUMIFS('Plan rashoda za unos u SAP'!$K$3:$K$501,'Plan rashoda za unos u SAP'!$C$3:$C$501,"=575",'Plan rashoda za unos u SAP'!$N$3:$N$501,"=42")+SUMIFS('ANALITIKA EU PROJEKATA'!$I$3:$I$498,'ANALITIKA EU PROJEKATA'!$A$3:$A$498,"=575",'ANALITIKA EU PROJEKATA'!$Q$3:$Q$498,"=42")</f>
        <v>0</v>
      </c>
      <c r="R102" s="138">
        <f>SUMIFS('Plan rashoda za unos u SAP'!$K$3:$K$501,'Plan rashoda za unos u SAP'!$C$3:$C$501,"=576",'Plan rashoda za unos u SAP'!$N$3:$N$501,"=42")+SUMIFS('ANALITIKA EU PROJEKATA'!$I$3:$I$498,'ANALITIKA EU PROJEKATA'!$A$3:$A$498,"=576",'ANALITIKA EU PROJEKATA'!$Q$3:$Q$498,"=42")</f>
        <v>0</v>
      </c>
      <c r="S102" s="138">
        <f>SUMIFS('Plan rashoda za unos u SAP'!$K$3:$K$501,'Plan rashoda za unos u SAP'!$C$3:$C$501,"=581",'Plan rashoda za unos u SAP'!$N$3:$N$501,"=42")+SUMIFS('ANALITIKA EU PROJEKATA'!$I$3:$I$498,'ANALITIKA EU PROJEKATA'!$A$3:$A$498,"=581",'ANALITIKA EU PROJEKATA'!$Q$3:$Q$498,"=42")</f>
        <v>0</v>
      </c>
      <c r="T102" s="138">
        <f>SUMIFS('Plan rashoda za unos u SAP'!$K$3:$K$501,'Plan rashoda za unos u SAP'!$C$3:$C$501,"=61",'Plan rashoda za unos u SAP'!$N$3:$N$501,"=42")+SUMIFS('ANALITIKA EU PROJEKATA'!$I$3:$I$498,'ANALITIKA EU PROJEKATA'!$A$3:$A$498,"=61",'ANALITIKA EU PROJEKATA'!$Q$3:$Q$498,"=42")</f>
        <v>0</v>
      </c>
      <c r="U102" s="138">
        <f>SUMIFS('Plan rashoda za unos u SAP'!$K$3:$K$501,'Plan rashoda za unos u SAP'!$C$3:$C$501,"=63",'Plan rashoda za unos u SAP'!$N$3:$N$501,"=42")+SUMIFS('ANALITIKA EU PROJEKATA'!$I$3:$I$498,'ANALITIKA EU PROJEKATA'!$A$3:$A$498,"=63",'ANALITIKA EU PROJEKATA'!$Q$3:$Q$498,"=42")</f>
        <v>0</v>
      </c>
      <c r="V102" s="138">
        <f>SUMIFS('Plan rashoda za unos u SAP'!$K$3:$K$501,'Plan rashoda za unos u SAP'!$C$3:$C$501,"=71",'Plan rashoda za unos u SAP'!$N$3:$N$501,"=42")+SUMIFS('ANALITIKA EU PROJEKATA'!$I$3:$I$498,'ANALITIKA EU PROJEKATA'!$A$3:$A$498,"=71",'ANALITIKA EU PROJEKATA'!$Q$3:$Q$498,"=42")</f>
        <v>0</v>
      </c>
      <c r="W102" s="138">
        <f>SUMIFS('Plan rashoda za unos u SAP'!$K$3:$K$501,'Plan rashoda za unos u SAP'!$C$3:$C$501,"=81",'Plan rashoda za unos u SAP'!$N$3:$N$501,"=42")+SUMIFS('ANALITIKA EU PROJEKATA'!$I$3:$I$498,'ANALITIKA EU PROJEKATA'!$A$3:$A$498,"=81",'ANALITIKA EU PROJEKATA'!$Q$3:$Q$498,"=42")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PROJEKATA'!$I$3:$I$498,'ANALITIKA EU PROJEKATA'!$A$3:$A$498,"=11",'ANALITIKA EU PROJEKATA'!$Q$3:$Q$498,"=43")</f>
        <v>0</v>
      </c>
      <c r="F103" s="138">
        <f>SUMIFS('Plan rashoda za unos u SAP'!$K$3:$K$501,'Plan rashoda za unos u SAP'!$C$3:$C$501,"=12",'Plan rashoda za unos u SAP'!$N$3:$N$501,"=43")+SUMIFS('ANALITIKA EU PROJEKATA'!$I$3:$I$498,'ANALITIKA EU PROJEKATA'!$A$3:$A$498,"=12",'ANALITIKA EU PROJEKATA'!$Q$3:$Q$498,"=43")</f>
        <v>0</v>
      </c>
      <c r="G103" s="138">
        <f>SUMIFS('Plan rashoda za unos u SAP'!$K$3:$K$501,'Plan rashoda za unos u SAP'!$C$3:$C$501,"=31",'Plan rashoda za unos u SAP'!$N$3:$N$501,"=43")+SUMIFS('ANALITIKA EU PROJEKATA'!$I$3:$I$498,'ANALITIKA EU PROJEKATA'!$A$3:$A$498,"=31",'ANALITIKA EU PROJEKATA'!$Q$3:$Q$498,"=43")</f>
        <v>0</v>
      </c>
      <c r="H103" s="138">
        <f>SUMIFS('Plan rashoda za unos u SAP'!$K$3:$K$501,'Plan rashoda za unos u SAP'!$C$3:$C$501,"=41",'Plan rashoda za unos u SAP'!$N$3:$N$501,"=43")+SUMIFS('ANALITIKA EU PROJEKATA'!$I$3:$I$498,'ANALITIKA EU PROJEKATA'!$A$3:$A$498,"=41",'ANALITIKA EU PROJEKATA'!$Q$3:$Q$498,"=43")</f>
        <v>0</v>
      </c>
      <c r="I103" s="138">
        <f>SUMIFS('Plan rashoda za unos u SAP'!$K$3:$K$501,'Plan rashoda za unos u SAP'!$C$3:$C$501,"=43",'Plan rashoda za unos u SAP'!$N$3:$N$501,"=43")+SUMIFS('ANALITIKA EU PROJEKATA'!$I$3:$I$498,'ANALITIKA EU PROJEKATA'!$A$3:$A$498,"=43",'ANALITIKA EU PROJEKATA'!$Q$3:$Q$498,"=43")</f>
        <v>0</v>
      </c>
      <c r="J103" s="138">
        <f>SUMIFS('Plan rashoda za unos u SAP'!$K$3:$K$501,'Plan rashoda za unos u SAP'!$C$3:$C$501,"=51",'Plan rashoda za unos u SAP'!$N$3:$N$501,"=43")+SUMIFS('ANALITIKA EU PROJEKATA'!$I$3:$I$498,'ANALITIKA EU PROJEKATA'!$A$3:$A$498,"=51",'ANALITIKA EU PROJEKATA'!$Q$3:$Q$498,"=43")</f>
        <v>0</v>
      </c>
      <c r="K103" s="138">
        <f>SUMIFS('Plan rashoda za unos u SAP'!$K$3:$K$501,'Plan rashoda za unos u SAP'!$C$3:$C$501,"=52",'Plan rashoda za unos u SAP'!$N$3:$N$501,"=43")+SUMIFS('ANALITIKA EU PROJEKATA'!$I$3:$I$498,'ANALITIKA EU PROJEKATA'!$A$3:$A$498,"=52",'ANALITIKA EU PROJEKATA'!$Q$3:$Q$498,"=43")</f>
        <v>0</v>
      </c>
      <c r="L103" s="138">
        <f>SUMIFS('Plan rashoda za unos u SAP'!$K$3:$K$501,'Plan rashoda za unos u SAP'!$C$3:$C$501,"=552",'Plan rashoda za unos u SAP'!$N$3:$N$501,"=43")+SUMIFS('ANALITIKA EU PROJEKATA'!$I$3:$I$498,'ANALITIKA EU PROJEKATA'!$A$3:$A$498,"=552",'ANALITIKA EU PROJEKATA'!$Q$3:$Q$498,"=43")</f>
        <v>0</v>
      </c>
      <c r="M103" s="138">
        <f>SUMIFS('Plan rashoda za unos u SAP'!$K$3:$K$501,'Plan rashoda za unos u SAP'!$C$3:$C$501,"=559",'Plan rashoda za unos u SAP'!$N$3:$N$501,"=43")+SUMIFS('ANALITIKA EU PROJEKATA'!$I$3:$I$498,'ANALITIKA EU PROJEKATA'!$A$3:$A$498,"=559",'ANALITIKA EU PROJEKATA'!$Q$3:$Q$498,"=43")</f>
        <v>0</v>
      </c>
      <c r="N103" s="138">
        <f>SUMIFS('Plan rashoda za unos u SAP'!$K$3:$K$501,'Plan rashoda za unos u SAP'!$C$3:$C$501,"=561",'Plan rashoda za unos u SAP'!$N$3:$N$501,"=43")+SUMIFS('ANALITIKA EU PROJEKATA'!$I$3:$I$498,'ANALITIKA EU PROJEKATA'!$A$3:$A$498,"=561",'ANALITIKA EU PROJEKATA'!$Q$3:$Q$498,"=43")</f>
        <v>0</v>
      </c>
      <c r="O103" s="138">
        <f>SUMIFS('Plan rashoda za unos u SAP'!$K$3:$K$501,'Plan rashoda za unos u SAP'!$C$3:$C$501,"=563",'Plan rashoda za unos u SAP'!$N$3:$N$501,"=43")+SUMIFS('ANALITIKA EU PROJEKATA'!$I$3:$I$498,'ANALITIKA EU PROJEKATA'!$A$3:$A$498,"=563",'ANALITIKA EU PROJEKATA'!$Q$3:$Q$498,"=43")</f>
        <v>0</v>
      </c>
      <c r="P103" s="138">
        <f>SUMIFS('Plan rashoda za unos u SAP'!$K$3:$K$501,'Plan rashoda za unos u SAP'!$C$3:$C$501,"=573",'Plan rashoda za unos u SAP'!$N$3:$N$501,"=43")+SUMIFS('ANALITIKA EU PROJEKATA'!$I$3:$I$498,'ANALITIKA EU PROJEKATA'!$A$3:$A$498,"=573",'ANALITIKA EU PROJEKATA'!$Q$3:$Q$498,"=43")</f>
        <v>0</v>
      </c>
      <c r="Q103" s="138">
        <f>SUMIFS('Plan rashoda za unos u SAP'!$K$3:$K$501,'Plan rashoda za unos u SAP'!$C$3:$C$501,"=575",'Plan rashoda za unos u SAP'!$N$3:$N$501,"=43")+SUMIFS('ANALITIKA EU PROJEKATA'!$I$3:$I$498,'ANALITIKA EU PROJEKATA'!$A$3:$A$498,"=575",'ANALITIKA EU PROJEKATA'!$Q$3:$Q$498,"=43")</f>
        <v>0</v>
      </c>
      <c r="R103" s="138">
        <f>SUMIFS('Plan rashoda za unos u SAP'!$K$3:$K$501,'Plan rashoda za unos u SAP'!$C$3:$C$501,"=576",'Plan rashoda za unos u SAP'!$N$3:$N$501,"=43")+SUMIFS('ANALITIKA EU PROJEKATA'!$I$3:$I$498,'ANALITIKA EU PROJEKATA'!$A$3:$A$498,"=576",'ANALITIKA EU PROJEKATA'!$Q$3:$Q$498,"=43")</f>
        <v>0</v>
      </c>
      <c r="S103" s="138">
        <f>SUMIFS('Plan rashoda za unos u SAP'!$K$3:$K$501,'Plan rashoda za unos u SAP'!$C$3:$C$501,"=581",'Plan rashoda za unos u SAP'!$N$3:$N$501,"=43")+SUMIFS('ANALITIKA EU PROJEKATA'!$I$3:$I$498,'ANALITIKA EU PROJEKATA'!$A$3:$A$498,"=581",'ANALITIKA EU PROJEKATA'!$Q$3:$Q$498,"=43")</f>
        <v>0</v>
      </c>
      <c r="T103" s="138">
        <f>SUMIFS('Plan rashoda za unos u SAP'!$K$3:$K$501,'Plan rashoda za unos u SAP'!$C$3:$C$501,"=61",'Plan rashoda za unos u SAP'!$N$3:$N$501,"=43")+SUMIFS('ANALITIKA EU PROJEKATA'!$I$3:$I$498,'ANALITIKA EU PROJEKATA'!$A$3:$A$498,"=61",'ANALITIKA EU PROJEKATA'!$Q$3:$Q$498,"=43")</f>
        <v>0</v>
      </c>
      <c r="U103" s="138">
        <f>SUMIFS('Plan rashoda za unos u SAP'!$K$3:$K$501,'Plan rashoda za unos u SAP'!$C$3:$C$501,"=63",'Plan rashoda za unos u SAP'!$N$3:$N$501,"=43")+SUMIFS('ANALITIKA EU PROJEKATA'!$I$3:$I$498,'ANALITIKA EU PROJEKATA'!$A$3:$A$498,"=63",'ANALITIKA EU PROJEKATA'!$Q$3:$Q$498,"=43")</f>
        <v>0</v>
      </c>
      <c r="V103" s="138">
        <f>SUMIFS('Plan rashoda za unos u SAP'!$K$3:$K$501,'Plan rashoda za unos u SAP'!$C$3:$C$501,"=71",'Plan rashoda za unos u SAP'!$N$3:$N$501,"=43")+SUMIFS('ANALITIKA EU PROJEKATA'!$I$3:$I$498,'ANALITIKA EU PROJEKATA'!$A$3:$A$498,"=71",'ANALITIKA EU PROJEKATA'!$Q$3:$Q$498,"=43")</f>
        <v>0</v>
      </c>
      <c r="W103" s="138">
        <f>SUMIFS('Plan rashoda za unos u SAP'!$K$3:$K$501,'Plan rashoda za unos u SAP'!$C$3:$C$501,"=81",'Plan rashoda za unos u SAP'!$N$3:$N$501,"=43")+SUMIFS('ANALITIKA EU PROJEKATA'!$I$3:$I$498,'ANALITIKA EU PROJEKATA'!$A$3:$A$498,"=81",'ANALITIKA EU PROJEKATA'!$Q$3:$Q$498,"=43")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PROJEKATA'!$I$3:$I$498,'ANALITIKA EU PROJEKATA'!$A$3:$A$498,"=11",'ANALITIKA EU PROJEKATA'!$Q$3:$Q$498,"=44")</f>
        <v>0</v>
      </c>
      <c r="F104" s="138">
        <f>SUMIFS('Plan rashoda za unos u SAP'!$K$3:$K$501,'Plan rashoda za unos u SAP'!$C$3:$C$501,"=12",'Plan rashoda za unos u SAP'!$N$3:$N$501,"=44")+SUMIFS('ANALITIKA EU PROJEKATA'!$I$3:$I$498,'ANALITIKA EU PROJEKATA'!$A$3:$A$498,"=12",'ANALITIKA EU PROJEKATA'!$Q$3:$Q$498,"=44")</f>
        <v>0</v>
      </c>
      <c r="G104" s="138">
        <f>SUMIFS('Plan rashoda za unos u SAP'!$K$3:$K$501,'Plan rashoda za unos u SAP'!$C$3:$C$501,"=31",'Plan rashoda za unos u SAP'!$N$3:$N$501,"=44")+SUMIFS('ANALITIKA EU PROJEKATA'!$I$3:$I$498,'ANALITIKA EU PROJEKATA'!$A$3:$A$498,"=31",'ANALITIKA EU PROJEKATA'!$Q$3:$Q$498,"=44")</f>
        <v>0</v>
      </c>
      <c r="H104" s="138">
        <f>SUMIFS('Plan rashoda za unos u SAP'!$K$3:$K$501,'Plan rashoda za unos u SAP'!$C$3:$C$501,"=41",'Plan rashoda za unos u SAP'!$N$3:$N$501,"=44")+SUMIFS('ANALITIKA EU PROJEKATA'!$I$3:$I$498,'ANALITIKA EU PROJEKATA'!$A$3:$A$498,"=41",'ANALITIKA EU PROJEKATA'!$Q$3:$Q$498,"=44")</f>
        <v>0</v>
      </c>
      <c r="I104" s="138">
        <f>SUMIFS('Plan rashoda za unos u SAP'!$K$3:$K$501,'Plan rashoda za unos u SAP'!$C$3:$C$501,"=43",'Plan rashoda za unos u SAP'!$N$3:$N$501,"=44")+SUMIFS('ANALITIKA EU PROJEKATA'!$I$3:$I$498,'ANALITIKA EU PROJEKATA'!$A$3:$A$498,"=43",'ANALITIKA EU PROJEKATA'!$Q$3:$Q$498,"=44")</f>
        <v>0</v>
      </c>
      <c r="J104" s="138">
        <f>SUMIFS('Plan rashoda za unos u SAP'!$K$3:$K$501,'Plan rashoda za unos u SAP'!$C$3:$C$501,"=51",'Plan rashoda za unos u SAP'!$N$3:$N$501,"=44")+SUMIFS('ANALITIKA EU PROJEKATA'!$I$3:$I$498,'ANALITIKA EU PROJEKATA'!$A$3:$A$498,"=51",'ANALITIKA EU PROJEKATA'!$Q$3:$Q$498,"=44")</f>
        <v>0</v>
      </c>
      <c r="K104" s="138">
        <f>SUMIFS('Plan rashoda za unos u SAP'!$K$3:$K$501,'Plan rashoda za unos u SAP'!$C$3:$C$501,"=52",'Plan rashoda za unos u SAP'!$N$3:$N$501,"=44")+SUMIFS('ANALITIKA EU PROJEKATA'!$I$3:$I$498,'ANALITIKA EU PROJEKATA'!$A$3:$A$498,"=52",'ANALITIKA EU PROJEKATA'!$Q$3:$Q$498,"=44")</f>
        <v>0</v>
      </c>
      <c r="L104" s="138">
        <f>SUMIFS('Plan rashoda za unos u SAP'!$K$3:$K$501,'Plan rashoda za unos u SAP'!$C$3:$C$501,"=552",'Plan rashoda za unos u SAP'!$N$3:$N$501,"=44")+SUMIFS('ANALITIKA EU PROJEKATA'!$I$3:$I$498,'ANALITIKA EU PROJEKATA'!$A$3:$A$498,"=552",'ANALITIKA EU PROJEKATA'!$Q$3:$Q$498,"=44")</f>
        <v>0</v>
      </c>
      <c r="M104" s="138">
        <f>SUMIFS('Plan rashoda za unos u SAP'!$K$3:$K$501,'Plan rashoda za unos u SAP'!$C$3:$C$501,"=559",'Plan rashoda za unos u SAP'!$N$3:$N$501,"=44")+SUMIFS('ANALITIKA EU PROJEKATA'!$I$3:$I$498,'ANALITIKA EU PROJEKATA'!$A$3:$A$498,"=559",'ANALITIKA EU PROJEKATA'!$Q$3:$Q$498,"=44")</f>
        <v>0</v>
      </c>
      <c r="N104" s="138">
        <f>SUMIFS('Plan rashoda za unos u SAP'!$K$3:$K$501,'Plan rashoda za unos u SAP'!$C$3:$C$501,"=561",'Plan rashoda za unos u SAP'!$N$3:$N$501,"=44")+SUMIFS('ANALITIKA EU PROJEKATA'!$I$3:$I$498,'ANALITIKA EU PROJEKATA'!$A$3:$A$498,"=561",'ANALITIKA EU PROJEKATA'!$Q$3:$Q$498,"=44")</f>
        <v>0</v>
      </c>
      <c r="O104" s="138">
        <f>SUMIFS('Plan rashoda za unos u SAP'!$K$3:$K$501,'Plan rashoda za unos u SAP'!$C$3:$C$501,"=563",'Plan rashoda za unos u SAP'!$N$3:$N$501,"=44")+SUMIFS('ANALITIKA EU PROJEKATA'!$I$3:$I$498,'ANALITIKA EU PROJEKATA'!$A$3:$A$498,"=563",'ANALITIKA EU PROJEKATA'!$Q$3:$Q$498,"=44")</f>
        <v>0</v>
      </c>
      <c r="P104" s="138">
        <f>SUMIFS('Plan rashoda za unos u SAP'!$K$3:$K$501,'Plan rashoda za unos u SAP'!$C$3:$C$501,"=573",'Plan rashoda za unos u SAP'!$N$3:$N$501,"=44")+SUMIFS('ANALITIKA EU PROJEKATA'!$I$3:$I$498,'ANALITIKA EU PROJEKATA'!$A$3:$A$498,"=573",'ANALITIKA EU PROJEKATA'!$Q$3:$Q$498,"=44")</f>
        <v>0</v>
      </c>
      <c r="Q104" s="138">
        <f>SUMIFS('Plan rashoda za unos u SAP'!$K$3:$K$501,'Plan rashoda za unos u SAP'!$C$3:$C$501,"=575",'Plan rashoda za unos u SAP'!$N$3:$N$501,"=44")+SUMIFS('ANALITIKA EU PROJEKATA'!$I$3:$I$498,'ANALITIKA EU PROJEKATA'!$A$3:$A$498,"=575",'ANALITIKA EU PROJEKATA'!$Q$3:$Q$498,"=44")</f>
        <v>0</v>
      </c>
      <c r="R104" s="138">
        <f>SUMIFS('Plan rashoda za unos u SAP'!$K$3:$K$501,'Plan rashoda za unos u SAP'!$C$3:$C$501,"=576",'Plan rashoda za unos u SAP'!$N$3:$N$501,"=44")+SUMIFS('ANALITIKA EU PROJEKATA'!$I$3:$I$498,'ANALITIKA EU PROJEKATA'!$A$3:$A$498,"=576",'ANALITIKA EU PROJEKATA'!$Q$3:$Q$498,"=44")</f>
        <v>0</v>
      </c>
      <c r="S104" s="138">
        <f>SUMIFS('Plan rashoda za unos u SAP'!$K$3:$K$501,'Plan rashoda za unos u SAP'!$C$3:$C$501,"=581",'Plan rashoda za unos u SAP'!$N$3:$N$501,"=44")+SUMIFS('ANALITIKA EU PROJEKATA'!$I$3:$I$498,'ANALITIKA EU PROJEKATA'!$A$3:$A$498,"=581",'ANALITIKA EU PROJEKATA'!$Q$3:$Q$498,"=44")</f>
        <v>0</v>
      </c>
      <c r="T104" s="138">
        <f>SUMIFS('Plan rashoda za unos u SAP'!$K$3:$K$501,'Plan rashoda za unos u SAP'!$C$3:$C$501,"=61",'Plan rashoda za unos u SAP'!$N$3:$N$501,"=44")+SUMIFS('ANALITIKA EU PROJEKATA'!$I$3:$I$498,'ANALITIKA EU PROJEKATA'!$A$3:$A$498,"=61",'ANALITIKA EU PROJEKATA'!$Q$3:$Q$498,"=44")</f>
        <v>0</v>
      </c>
      <c r="U104" s="138">
        <f>SUMIFS('Plan rashoda za unos u SAP'!$K$3:$K$501,'Plan rashoda za unos u SAP'!$C$3:$C$501,"=63",'Plan rashoda za unos u SAP'!$N$3:$N$501,"=44")+SUMIFS('ANALITIKA EU PROJEKATA'!$I$3:$I$498,'ANALITIKA EU PROJEKATA'!$A$3:$A$498,"=63",'ANALITIKA EU PROJEKATA'!$Q$3:$Q$498,"=44")</f>
        <v>0</v>
      </c>
      <c r="V104" s="138">
        <f>SUMIFS('Plan rashoda za unos u SAP'!$K$3:$K$501,'Plan rashoda za unos u SAP'!$C$3:$C$501,"=71",'Plan rashoda za unos u SAP'!$N$3:$N$501,"=44")+SUMIFS('ANALITIKA EU PROJEKATA'!$I$3:$I$498,'ANALITIKA EU PROJEKATA'!$A$3:$A$498,"=71",'ANALITIKA EU PROJEKATA'!$Q$3:$Q$498,"=44")</f>
        <v>0</v>
      </c>
      <c r="W104" s="138">
        <f>SUMIFS('Plan rashoda za unos u SAP'!$K$3:$K$501,'Plan rashoda za unos u SAP'!$C$3:$C$501,"=81",'Plan rashoda za unos u SAP'!$N$3:$N$501,"=44")+SUMIFS('ANALITIKA EU PROJEKATA'!$I$3:$I$498,'ANALITIKA EU PROJEKATA'!$A$3:$A$498,"=81",'ANALITIKA EU PROJEKATA'!$Q$3:$Q$498,"=44")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PROJEKATA'!$I$3:$I$498,'ANALITIKA EU PROJEKATA'!$A$3:$A$498,"=11",'ANALITIKA EU PROJEKATA'!$Q$3:$Q$498,"=45")</f>
        <v>0</v>
      </c>
      <c r="F105" s="138">
        <f>SUMIFS('Plan rashoda za unos u SAP'!$K$3:$K$501,'Plan rashoda za unos u SAP'!$C$3:$C$501,"=12",'Plan rashoda za unos u SAP'!$N$3:$N$501,"=45")+SUMIFS('ANALITIKA EU PROJEKATA'!$I$3:$I$498,'ANALITIKA EU PROJEKATA'!$A$3:$A$498,"=12",'ANALITIKA EU PROJEKATA'!$Q$3:$Q$498,"=45")</f>
        <v>0</v>
      </c>
      <c r="G105" s="138">
        <f>SUMIFS('Plan rashoda za unos u SAP'!$K$3:$K$501,'Plan rashoda za unos u SAP'!$C$3:$C$501,"=31",'Plan rashoda za unos u SAP'!$N$3:$N$501,"=45")+SUMIFS('ANALITIKA EU PROJEKATA'!$I$3:$I$498,'ANALITIKA EU PROJEKATA'!$A$3:$A$498,"=31",'ANALITIKA EU PROJEKATA'!$Q$3:$Q$498,"=45")</f>
        <v>0</v>
      </c>
      <c r="H105" s="138">
        <f>SUMIFS('Plan rashoda za unos u SAP'!$K$3:$K$501,'Plan rashoda za unos u SAP'!$C$3:$C$501,"=41",'Plan rashoda za unos u SAP'!$N$3:$N$501,"=45")+SUMIFS('ANALITIKA EU PROJEKATA'!$I$3:$I$498,'ANALITIKA EU PROJEKATA'!$A$3:$A$498,"=41",'ANALITIKA EU PROJEKATA'!$Q$3:$Q$498,"=45")</f>
        <v>0</v>
      </c>
      <c r="I105" s="138">
        <f>SUMIFS('Plan rashoda za unos u SAP'!$K$3:$K$501,'Plan rashoda za unos u SAP'!$C$3:$C$501,"=43",'Plan rashoda za unos u SAP'!$N$3:$N$501,"=45")+SUMIFS('ANALITIKA EU PROJEKATA'!$I$3:$I$498,'ANALITIKA EU PROJEKATA'!$A$3:$A$498,"=43",'ANALITIKA EU PROJEKATA'!$Q$3:$Q$498,"=45")</f>
        <v>0</v>
      </c>
      <c r="J105" s="138">
        <f>SUMIFS('Plan rashoda za unos u SAP'!$K$3:$K$501,'Plan rashoda za unos u SAP'!$C$3:$C$501,"=51",'Plan rashoda za unos u SAP'!$N$3:$N$501,"=45")+SUMIFS('ANALITIKA EU PROJEKATA'!$I$3:$I$498,'ANALITIKA EU PROJEKATA'!$A$3:$A$498,"=51",'ANALITIKA EU PROJEKATA'!$Q$3:$Q$498,"=45")</f>
        <v>0</v>
      </c>
      <c r="K105" s="138">
        <f>SUMIFS('Plan rashoda za unos u SAP'!$K$3:$K$501,'Plan rashoda za unos u SAP'!$C$3:$C$501,"=52",'Plan rashoda za unos u SAP'!$N$3:$N$501,"=45")+SUMIFS('ANALITIKA EU PROJEKATA'!$I$3:$I$498,'ANALITIKA EU PROJEKATA'!$A$3:$A$498,"=52",'ANALITIKA EU PROJEKATA'!$Q$3:$Q$498,"=45")</f>
        <v>0</v>
      </c>
      <c r="L105" s="138">
        <f>SUMIFS('Plan rashoda za unos u SAP'!$K$3:$K$501,'Plan rashoda za unos u SAP'!$C$3:$C$501,"=552",'Plan rashoda za unos u SAP'!$N$3:$N$501,"=45")+SUMIFS('ANALITIKA EU PROJEKATA'!$I$3:$I$498,'ANALITIKA EU PROJEKATA'!$A$3:$A$498,"=552",'ANALITIKA EU PROJEKATA'!$Q$3:$Q$498,"=45")</f>
        <v>0</v>
      </c>
      <c r="M105" s="138">
        <f>SUMIFS('Plan rashoda za unos u SAP'!$K$3:$K$501,'Plan rashoda za unos u SAP'!$C$3:$C$501,"=559",'Plan rashoda za unos u SAP'!$N$3:$N$501,"=45")+SUMIFS('ANALITIKA EU PROJEKATA'!$I$3:$I$498,'ANALITIKA EU PROJEKATA'!$A$3:$A$498,"=559",'ANALITIKA EU PROJEKATA'!$Q$3:$Q$498,"=45")</f>
        <v>0</v>
      </c>
      <c r="N105" s="138">
        <f>SUMIFS('Plan rashoda za unos u SAP'!$K$3:$K$501,'Plan rashoda za unos u SAP'!$C$3:$C$501,"=561",'Plan rashoda za unos u SAP'!$N$3:$N$501,"=45")+SUMIFS('ANALITIKA EU PROJEKATA'!$I$3:$I$498,'ANALITIKA EU PROJEKATA'!$A$3:$A$498,"=561",'ANALITIKA EU PROJEKATA'!$Q$3:$Q$498,"=45")</f>
        <v>0</v>
      </c>
      <c r="O105" s="138">
        <f>SUMIFS('Plan rashoda za unos u SAP'!$K$3:$K$501,'Plan rashoda za unos u SAP'!$C$3:$C$501,"=563",'Plan rashoda za unos u SAP'!$N$3:$N$501,"=45")+SUMIFS('ANALITIKA EU PROJEKATA'!$I$3:$I$498,'ANALITIKA EU PROJEKATA'!$A$3:$A$498,"=563",'ANALITIKA EU PROJEKATA'!$Q$3:$Q$498,"=45")</f>
        <v>0</v>
      </c>
      <c r="P105" s="138">
        <f>SUMIFS('Plan rashoda za unos u SAP'!$K$3:$K$501,'Plan rashoda za unos u SAP'!$C$3:$C$501,"=573",'Plan rashoda za unos u SAP'!$N$3:$N$501,"=45")+SUMIFS('ANALITIKA EU PROJEKATA'!$I$3:$I$498,'ANALITIKA EU PROJEKATA'!$A$3:$A$498,"=573",'ANALITIKA EU PROJEKATA'!$Q$3:$Q$498,"=45")</f>
        <v>0</v>
      </c>
      <c r="Q105" s="138">
        <f>SUMIFS('Plan rashoda za unos u SAP'!$K$3:$K$501,'Plan rashoda za unos u SAP'!$C$3:$C$501,"=575",'Plan rashoda za unos u SAP'!$N$3:$N$501,"=45")+SUMIFS('ANALITIKA EU PROJEKATA'!$I$3:$I$498,'ANALITIKA EU PROJEKATA'!$A$3:$A$498,"=575",'ANALITIKA EU PROJEKATA'!$Q$3:$Q$498,"=45")</f>
        <v>0</v>
      </c>
      <c r="R105" s="138">
        <f>SUMIFS('Plan rashoda za unos u SAP'!$K$3:$K$501,'Plan rashoda za unos u SAP'!$C$3:$C$501,"=576",'Plan rashoda za unos u SAP'!$N$3:$N$501,"=45")+SUMIFS('ANALITIKA EU PROJEKATA'!$I$3:$I$498,'ANALITIKA EU PROJEKATA'!$A$3:$A$498,"=576",'ANALITIKA EU PROJEKATA'!$Q$3:$Q$498,"=45")</f>
        <v>0</v>
      </c>
      <c r="S105" s="138">
        <f>SUMIFS('Plan rashoda za unos u SAP'!$K$3:$K$501,'Plan rashoda za unos u SAP'!$C$3:$C$501,"=581",'Plan rashoda za unos u SAP'!$N$3:$N$501,"=45")+SUMIFS('ANALITIKA EU PROJEKATA'!$I$3:$I$498,'ANALITIKA EU PROJEKATA'!$A$3:$A$498,"=581",'ANALITIKA EU PROJEKATA'!$Q$3:$Q$498,"=45")</f>
        <v>0</v>
      </c>
      <c r="T105" s="138">
        <f>SUMIFS('Plan rashoda za unos u SAP'!$K$3:$K$501,'Plan rashoda za unos u SAP'!$C$3:$C$501,"=61",'Plan rashoda za unos u SAP'!$N$3:$N$501,"=45")+SUMIFS('ANALITIKA EU PROJEKATA'!$I$3:$I$498,'ANALITIKA EU PROJEKATA'!$A$3:$A$498,"=61",'ANALITIKA EU PROJEKATA'!$Q$3:$Q$498,"=45")</f>
        <v>0</v>
      </c>
      <c r="U105" s="138">
        <f>SUMIFS('Plan rashoda za unos u SAP'!$K$3:$K$501,'Plan rashoda za unos u SAP'!$C$3:$C$501,"=63",'Plan rashoda za unos u SAP'!$N$3:$N$501,"=45")+SUMIFS('ANALITIKA EU PROJEKATA'!$I$3:$I$498,'ANALITIKA EU PROJEKATA'!$A$3:$A$498,"=63",'ANALITIKA EU PROJEKATA'!$Q$3:$Q$498,"=45")</f>
        <v>0</v>
      </c>
      <c r="V105" s="138">
        <f>SUMIFS('Plan rashoda za unos u SAP'!$K$3:$K$501,'Plan rashoda za unos u SAP'!$C$3:$C$501,"=71",'Plan rashoda za unos u SAP'!$N$3:$N$501,"=45")+SUMIFS('ANALITIKA EU PROJEKATA'!$I$3:$I$498,'ANALITIKA EU PROJEKATA'!$A$3:$A$498,"=71",'ANALITIKA EU PROJEKATA'!$Q$3:$Q$498,"=45")</f>
        <v>0</v>
      </c>
      <c r="W105" s="138">
        <f>SUMIFS('Plan rashoda za unos u SAP'!$K$3:$K$501,'Plan rashoda za unos u SAP'!$C$3:$C$501,"=81",'Plan rashoda za unos u SAP'!$N$3:$N$501,"=45")+SUMIFS('ANALITIKA EU PROJEKATA'!$I$3:$I$498,'ANALITIKA EU PROJEKATA'!$A$3:$A$498,"=81",'ANALITIKA EU PROJEKATA'!$Q$3:$Q$498,"=45")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PROJEKATA'!$I$3:$I$498,'ANALITIKA EU PROJEKATA'!$A$3:$A$498,"=11",'ANALITIKA EU PROJEKATA'!$Q$3:$Q$498,"=51")</f>
        <v>0</v>
      </c>
      <c r="F107" s="138">
        <f>SUMIFS('Plan rashoda za unos u SAP'!$K$3:$K$501,'Plan rashoda za unos u SAP'!$C$3:$C$501,"=12",'Plan rashoda za unos u SAP'!$N$3:$N$501,"=51")+SUMIFS('ANALITIKA EU PROJEKATA'!$I$3:$I$498,'ANALITIKA EU PROJEKATA'!$A$3:$A$498,"=12",'ANALITIKA EU PROJEKATA'!$Q$3:$Q$498,"=51")</f>
        <v>0</v>
      </c>
      <c r="G107" s="138">
        <f>SUMIFS('Plan rashoda za unos u SAP'!$K$3:$K$501,'Plan rashoda za unos u SAP'!$C$3:$C$501,"=31",'Plan rashoda za unos u SAP'!$N$3:$N$501,"=51")+SUMIFS('ANALITIKA EU PROJEKATA'!$I$3:$I$498,'ANALITIKA EU PROJEKATA'!$A$3:$A$498,"=31",'ANALITIKA EU PROJEKATA'!$Q$3:$Q$498,"=51")</f>
        <v>0</v>
      </c>
      <c r="H107" s="138">
        <f>SUMIFS('Plan rashoda za unos u SAP'!$K$3:$K$501,'Plan rashoda za unos u SAP'!$C$3:$C$501,"=41",'Plan rashoda za unos u SAP'!$N$3:$N$501,"=51")+SUMIFS('ANALITIKA EU PROJEKATA'!$I$3:$I$498,'ANALITIKA EU PROJEKATA'!$A$3:$A$498,"=41",'ANALITIKA EU PROJEKATA'!$Q$3:$Q$498,"=51")</f>
        <v>0</v>
      </c>
      <c r="I107" s="138">
        <f>SUMIFS('Plan rashoda za unos u SAP'!$K$3:$K$501,'Plan rashoda za unos u SAP'!$C$3:$C$501,"=43",'Plan rashoda za unos u SAP'!$N$3:$N$501,"=51")+SUMIFS('ANALITIKA EU PROJEKATA'!$I$3:$I$498,'ANALITIKA EU PROJEKATA'!$A$3:$A$498,"=43",'ANALITIKA EU PROJEKATA'!$Q$3:$Q$498,"=51")</f>
        <v>0</v>
      </c>
      <c r="J107" s="138">
        <f>SUMIFS('Plan rashoda za unos u SAP'!$K$3:$K$501,'Plan rashoda za unos u SAP'!$C$3:$C$501,"=51",'Plan rashoda za unos u SAP'!$N$3:$N$501,"=51")+SUMIFS('ANALITIKA EU PROJEKATA'!$I$3:$I$498,'ANALITIKA EU PROJEKATA'!$A$3:$A$498,"=51",'ANALITIKA EU PROJEKATA'!$Q$3:$Q$498,"=51")</f>
        <v>0</v>
      </c>
      <c r="K107" s="138">
        <f>SUMIFS('Plan rashoda za unos u SAP'!$K$3:$K$501,'Plan rashoda za unos u SAP'!$C$3:$C$501,"=52",'Plan rashoda za unos u SAP'!$N$3:$N$501,"=51")+SUMIFS('ANALITIKA EU PROJEKATA'!$I$3:$I$498,'ANALITIKA EU PROJEKATA'!$A$3:$A$498,"=52",'ANALITIKA EU PROJEKATA'!$Q$3:$Q$498,"=51")</f>
        <v>0</v>
      </c>
      <c r="L107" s="138">
        <f>SUMIFS('Plan rashoda za unos u SAP'!$K$3:$K$501,'Plan rashoda za unos u SAP'!$C$3:$C$501,"=552",'Plan rashoda za unos u SAP'!$N$3:$N$501,"=51")+SUMIFS('ANALITIKA EU PROJEKATA'!$I$3:$I$498,'ANALITIKA EU PROJEKATA'!$A$3:$A$498,"=552",'ANALITIKA EU PROJEKATA'!$Q$3:$Q$498,"=51")</f>
        <v>0</v>
      </c>
      <c r="M107" s="138">
        <f>SUMIFS('Plan rashoda za unos u SAP'!$K$3:$K$501,'Plan rashoda za unos u SAP'!$C$3:$C$501,"=559",'Plan rashoda za unos u SAP'!$N$3:$N$501,"=51")+SUMIFS('ANALITIKA EU PROJEKATA'!$I$3:$I$498,'ANALITIKA EU PROJEKATA'!$A$3:$A$498,"=559",'ANALITIKA EU PROJEKATA'!$Q$3:$Q$498,"=51")</f>
        <v>0</v>
      </c>
      <c r="N107" s="138">
        <f>SUMIFS('Plan rashoda za unos u SAP'!$K$3:$K$501,'Plan rashoda za unos u SAP'!$C$3:$C$501,"=561",'Plan rashoda za unos u SAP'!$N$3:$N$501,"=51")+SUMIFS('ANALITIKA EU PROJEKATA'!$I$3:$I$498,'ANALITIKA EU PROJEKATA'!$A$3:$A$498,"=561",'ANALITIKA EU PROJEKATA'!$Q$3:$Q$498,"=51")</f>
        <v>0</v>
      </c>
      <c r="O107" s="138">
        <f>SUMIFS('Plan rashoda za unos u SAP'!$K$3:$K$501,'Plan rashoda za unos u SAP'!$C$3:$C$501,"=563",'Plan rashoda za unos u SAP'!$N$3:$N$501,"=51")+SUMIFS('ANALITIKA EU PROJEKATA'!$I$3:$I$498,'ANALITIKA EU PROJEKATA'!$A$3:$A$498,"=563",'ANALITIKA EU PROJEKATA'!$Q$3:$Q$498,"=51")</f>
        <v>0</v>
      </c>
      <c r="P107" s="138">
        <f>SUMIFS('Plan rashoda za unos u SAP'!$K$3:$K$501,'Plan rashoda za unos u SAP'!$C$3:$C$501,"=573",'Plan rashoda za unos u SAP'!$N$3:$N$501,"=51")+SUMIFS('ANALITIKA EU PROJEKATA'!$I$3:$I$498,'ANALITIKA EU PROJEKATA'!$A$3:$A$498,"=573",'ANALITIKA EU PROJEKATA'!$Q$3:$Q$498,"=51")</f>
        <v>0</v>
      </c>
      <c r="Q107" s="138">
        <f>SUMIFS('Plan rashoda za unos u SAP'!$K$3:$K$501,'Plan rashoda za unos u SAP'!$C$3:$C$501,"=575",'Plan rashoda za unos u SAP'!$N$3:$N$501,"=51")+SUMIFS('ANALITIKA EU PROJEKATA'!$I$3:$I$498,'ANALITIKA EU PROJEKATA'!$A$3:$A$498,"=575",'ANALITIKA EU PROJEKATA'!$Q$3:$Q$498,"=51")</f>
        <v>0</v>
      </c>
      <c r="R107" s="138">
        <f>SUMIFS('Plan rashoda za unos u SAP'!$K$3:$K$501,'Plan rashoda za unos u SAP'!$C$3:$C$501,"=576",'Plan rashoda za unos u SAP'!$N$3:$N$501,"=51")+SUMIFS('ANALITIKA EU PROJEKATA'!$I$3:$I$498,'ANALITIKA EU PROJEKATA'!$A$3:$A$498,"=576",'ANALITIKA EU PROJEKATA'!$Q$3:$Q$498,"=51")</f>
        <v>0</v>
      </c>
      <c r="S107" s="138">
        <f>SUMIFS('Plan rashoda za unos u SAP'!$K$3:$K$501,'Plan rashoda za unos u SAP'!$C$3:$C$501,"=581",'Plan rashoda za unos u SAP'!$N$3:$N$501,"=51")+SUMIFS('ANALITIKA EU PROJEKATA'!$I$3:$I$498,'ANALITIKA EU PROJEKATA'!$A$3:$A$498,"=581",'ANALITIKA EU PROJEKATA'!$Q$3:$Q$498,"=51")</f>
        <v>0</v>
      </c>
      <c r="T107" s="138">
        <f>SUMIFS('Plan rashoda za unos u SAP'!$K$3:$K$501,'Plan rashoda za unos u SAP'!$C$3:$C$501,"=61",'Plan rashoda za unos u SAP'!$N$3:$N$501,"=51")+SUMIFS('ANALITIKA EU PROJEKATA'!$I$3:$I$498,'ANALITIKA EU PROJEKATA'!$A$3:$A$498,"=61",'ANALITIKA EU PROJEKATA'!$Q$3:$Q$498,"=51")</f>
        <v>0</v>
      </c>
      <c r="U107" s="138">
        <f>SUMIFS('Plan rashoda za unos u SAP'!$K$3:$K$501,'Plan rashoda za unos u SAP'!$C$3:$C$501,"=63",'Plan rashoda za unos u SAP'!$N$3:$N$501,"=51")+SUMIFS('ANALITIKA EU PROJEKATA'!$I$3:$I$498,'ANALITIKA EU PROJEKATA'!$A$3:$A$498,"=63",'ANALITIKA EU PROJEKATA'!$Q$3:$Q$498,"=51")</f>
        <v>0</v>
      </c>
      <c r="V107" s="138">
        <f>SUMIFS('Plan rashoda za unos u SAP'!$K$3:$K$501,'Plan rashoda za unos u SAP'!$C$3:$C$501,"=71",'Plan rashoda za unos u SAP'!$N$3:$N$501,"=51")+SUMIFS('ANALITIKA EU PROJEKATA'!$I$3:$I$498,'ANALITIKA EU PROJEKATA'!$A$3:$A$498,"=71",'ANALITIKA EU PROJEKATA'!$Q$3:$Q$498,"=51")</f>
        <v>0</v>
      </c>
      <c r="W107" s="138">
        <f>SUMIFS('Plan rashoda za unos u SAP'!$K$3:$K$501,'Plan rashoda za unos u SAP'!$C$3:$C$501,"=81",'Plan rashoda za unos u SAP'!$N$3:$N$501,"=51")+SUMIFS('ANALITIKA EU PROJEKATA'!$I$3:$I$498,'ANALITIKA EU PROJEKATA'!$A$3:$A$498,"=81",'ANALITIKA EU PROJEKATA'!$Q$3:$Q$498,"=51")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PROJEKATA'!$I$3:$I$498,'ANALITIKA EU PROJEKATA'!$A$3:$A$498,"=11",'ANALITIKA EU PROJEKATA'!$Q$3:$Q$498,"=54")</f>
        <v>0</v>
      </c>
      <c r="F108" s="138">
        <f>SUMIFS('Plan rashoda za unos u SAP'!$K$3:$K$501,'Plan rashoda za unos u SAP'!$C$3:$C$501,"=12",'Plan rashoda za unos u SAP'!$N$3:$N$501,"=54")+SUMIFS('ANALITIKA EU PROJEKATA'!$I$3:$I$498,'ANALITIKA EU PROJEKATA'!$A$3:$A$498,"=12",'ANALITIKA EU PROJEKATA'!$Q$3:$Q$498,"=54")</f>
        <v>0</v>
      </c>
      <c r="G108" s="138">
        <f>SUMIFS('Plan rashoda za unos u SAP'!$K$3:$K$501,'Plan rashoda za unos u SAP'!$C$3:$C$501,"=31",'Plan rashoda za unos u SAP'!$N$3:$N$501,"=54")+SUMIFS('ANALITIKA EU PROJEKATA'!$I$3:$I$498,'ANALITIKA EU PROJEKATA'!$A$3:$A$498,"=31",'ANALITIKA EU PROJEKATA'!$Q$3:$Q$498,"=54")</f>
        <v>0</v>
      </c>
      <c r="H108" s="138">
        <f>SUMIFS('Plan rashoda za unos u SAP'!$K$3:$K$501,'Plan rashoda za unos u SAP'!$C$3:$C$501,"=41",'Plan rashoda za unos u SAP'!$N$3:$N$501,"=54")+SUMIFS('ANALITIKA EU PROJEKATA'!$I$3:$I$498,'ANALITIKA EU PROJEKATA'!$A$3:$A$498,"=41",'ANALITIKA EU PROJEKATA'!$Q$3:$Q$498,"=54")</f>
        <v>0</v>
      </c>
      <c r="I108" s="138">
        <f>SUMIFS('Plan rashoda za unos u SAP'!$K$3:$K$501,'Plan rashoda za unos u SAP'!$C$3:$C$501,"=43",'Plan rashoda za unos u SAP'!$N$3:$N$501,"=54")+SUMIFS('ANALITIKA EU PROJEKATA'!$I$3:$I$498,'ANALITIKA EU PROJEKATA'!$A$3:$A$498,"=43",'ANALITIKA EU PROJEKATA'!$Q$3:$Q$498,"=54")</f>
        <v>0</v>
      </c>
      <c r="J108" s="138">
        <f>SUMIFS('Plan rashoda za unos u SAP'!$K$3:$K$501,'Plan rashoda za unos u SAP'!$C$3:$C$501,"=51",'Plan rashoda za unos u SAP'!$N$3:$N$501,"=54")+SUMIFS('ANALITIKA EU PROJEKATA'!$I$3:$I$498,'ANALITIKA EU PROJEKATA'!$A$3:$A$498,"=51",'ANALITIKA EU PROJEKATA'!$Q$3:$Q$498,"=54")</f>
        <v>0</v>
      </c>
      <c r="K108" s="138">
        <f>SUMIFS('Plan rashoda za unos u SAP'!$K$3:$K$501,'Plan rashoda za unos u SAP'!$C$3:$C$501,"=52",'Plan rashoda za unos u SAP'!$N$3:$N$501,"=54")+SUMIFS('ANALITIKA EU PROJEKATA'!$I$3:$I$498,'ANALITIKA EU PROJEKATA'!$A$3:$A$498,"=52",'ANALITIKA EU PROJEKATA'!$Q$3:$Q$498,"=54")</f>
        <v>0</v>
      </c>
      <c r="L108" s="138">
        <f>SUMIFS('Plan rashoda za unos u SAP'!$K$3:$K$501,'Plan rashoda za unos u SAP'!$C$3:$C$501,"=552",'Plan rashoda za unos u SAP'!$N$3:$N$501,"=54")+SUMIFS('ANALITIKA EU PROJEKATA'!$I$3:$I$498,'ANALITIKA EU PROJEKATA'!$A$3:$A$498,"=552",'ANALITIKA EU PROJEKATA'!$Q$3:$Q$498,"=54")</f>
        <v>0</v>
      </c>
      <c r="M108" s="138">
        <f>SUMIFS('Plan rashoda za unos u SAP'!$K$3:$K$501,'Plan rashoda za unos u SAP'!$C$3:$C$501,"=559",'Plan rashoda za unos u SAP'!$N$3:$N$501,"=54")+SUMIFS('ANALITIKA EU PROJEKATA'!$I$3:$I$498,'ANALITIKA EU PROJEKATA'!$A$3:$A$498,"=559",'ANALITIKA EU PROJEKATA'!$Q$3:$Q$498,"=54")</f>
        <v>0</v>
      </c>
      <c r="N108" s="138">
        <f>SUMIFS('Plan rashoda za unos u SAP'!$K$3:$K$501,'Plan rashoda za unos u SAP'!$C$3:$C$501,"=561",'Plan rashoda za unos u SAP'!$N$3:$N$501,"=54")+SUMIFS('ANALITIKA EU PROJEKATA'!$I$3:$I$498,'ANALITIKA EU PROJEKATA'!$A$3:$A$498,"=561",'ANALITIKA EU PROJEKATA'!$Q$3:$Q$498,"=54")</f>
        <v>0</v>
      </c>
      <c r="O108" s="138">
        <f>SUMIFS('Plan rashoda za unos u SAP'!$K$3:$K$501,'Plan rashoda za unos u SAP'!$C$3:$C$501,"=563",'Plan rashoda za unos u SAP'!$N$3:$N$501,"=54")+SUMIFS('ANALITIKA EU PROJEKATA'!$I$3:$I$498,'ANALITIKA EU PROJEKATA'!$A$3:$A$498,"=563",'ANALITIKA EU PROJEKATA'!$Q$3:$Q$498,"=54")</f>
        <v>0</v>
      </c>
      <c r="P108" s="138">
        <f>SUMIFS('Plan rashoda za unos u SAP'!$K$3:$K$501,'Plan rashoda za unos u SAP'!$C$3:$C$501,"=573",'Plan rashoda za unos u SAP'!$N$3:$N$501,"=54")+SUMIFS('ANALITIKA EU PROJEKATA'!$I$3:$I$498,'ANALITIKA EU PROJEKATA'!$A$3:$A$498,"=573",'ANALITIKA EU PROJEKATA'!$Q$3:$Q$498,"=54")</f>
        <v>0</v>
      </c>
      <c r="Q108" s="138">
        <f>SUMIFS('Plan rashoda za unos u SAP'!$K$3:$K$501,'Plan rashoda za unos u SAP'!$C$3:$C$501,"=575",'Plan rashoda za unos u SAP'!$N$3:$N$501,"=54")+SUMIFS('ANALITIKA EU PROJEKATA'!$I$3:$I$498,'ANALITIKA EU PROJEKATA'!$A$3:$A$498,"=575",'ANALITIKA EU PROJEKATA'!$Q$3:$Q$498,"=54")</f>
        <v>0</v>
      </c>
      <c r="R108" s="138">
        <f>SUMIFS('Plan rashoda za unos u SAP'!$K$3:$K$501,'Plan rashoda za unos u SAP'!$C$3:$C$501,"=576",'Plan rashoda za unos u SAP'!$N$3:$N$501,"=54")+SUMIFS('ANALITIKA EU PROJEKATA'!$I$3:$I$498,'ANALITIKA EU PROJEKATA'!$A$3:$A$498,"=576",'ANALITIKA EU PROJEKATA'!$Q$3:$Q$498,"=54")</f>
        <v>0</v>
      </c>
      <c r="S108" s="138">
        <f>SUMIFS('Plan rashoda za unos u SAP'!$K$3:$K$501,'Plan rashoda za unos u SAP'!$C$3:$C$501,"=581",'Plan rashoda za unos u SAP'!$N$3:$N$501,"=54")+SUMIFS('ANALITIKA EU PROJEKATA'!$I$3:$I$498,'ANALITIKA EU PROJEKATA'!$A$3:$A$498,"=581",'ANALITIKA EU PROJEKATA'!$Q$3:$Q$498,"=54")</f>
        <v>0</v>
      </c>
      <c r="T108" s="138">
        <f>SUMIFS('Plan rashoda za unos u SAP'!$K$3:$K$501,'Plan rashoda za unos u SAP'!$C$3:$C$501,"=61",'Plan rashoda za unos u SAP'!$N$3:$N$501,"=54")+SUMIFS('ANALITIKA EU PROJEKATA'!$I$3:$I$498,'ANALITIKA EU PROJEKATA'!$A$3:$A$498,"=61",'ANALITIKA EU PROJEKATA'!$Q$3:$Q$498,"=54")</f>
        <v>0</v>
      </c>
      <c r="U108" s="138">
        <f>SUMIFS('Plan rashoda za unos u SAP'!$K$3:$K$501,'Plan rashoda za unos u SAP'!$C$3:$C$501,"=63",'Plan rashoda za unos u SAP'!$N$3:$N$501,"=54")+SUMIFS('ANALITIKA EU PROJEKATA'!$I$3:$I$498,'ANALITIKA EU PROJEKATA'!$A$3:$A$498,"=63",'ANALITIKA EU PROJEKATA'!$Q$3:$Q$498,"=54")</f>
        <v>0</v>
      </c>
      <c r="V108" s="138">
        <f>SUMIFS('Plan rashoda za unos u SAP'!$K$3:$K$501,'Plan rashoda za unos u SAP'!$C$3:$C$501,"=71",'Plan rashoda za unos u SAP'!$N$3:$N$501,"=54")+SUMIFS('ANALITIKA EU PROJEKATA'!$I$3:$I$498,'ANALITIKA EU PROJEKATA'!$A$3:$A$498,"=71",'ANALITIKA EU PROJEKATA'!$Q$3:$Q$498,"=54")</f>
        <v>0</v>
      </c>
      <c r="W108" s="138">
        <f>SUMIFS('Plan rashoda za unos u SAP'!$K$3:$K$501,'Plan rashoda za unos u SAP'!$C$3:$C$501,"=81",'Plan rashoda za unos u SAP'!$N$3:$N$501,"=54")+SUMIFS('ANALITIKA EU PROJEKATA'!$I$3:$I$498,'ANALITIKA EU PROJEKATA'!$A$3:$A$498,"=81",'ANALITIKA EU PROJEKATA'!$Q$3:$Q$498,"=54")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O15" sqref="O15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3" t="s">
        <v>221</v>
      </c>
      <c r="B10" s="285" t="s">
        <v>222</v>
      </c>
      <c r="C10" s="285" t="s">
        <v>223</v>
      </c>
      <c r="D10" s="288" t="s">
        <v>224</v>
      </c>
      <c r="E10" s="281" t="s">
        <v>3490</v>
      </c>
      <c r="F10" s="281" t="s">
        <v>765</v>
      </c>
      <c r="G10" s="281" t="s">
        <v>1912</v>
      </c>
      <c r="H10" s="281" t="s">
        <v>3491</v>
      </c>
    </row>
    <row r="11" spans="1:8" ht="15.75" thickBot="1">
      <c r="A11" s="284"/>
      <c r="B11" s="286"/>
      <c r="C11" s="287"/>
      <c r="D11" s="289"/>
      <c r="E11" s="290"/>
      <c r="F11" s="282"/>
      <c r="G11" s="282"/>
      <c r="H11" s="282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217" workbookViewId="0">
      <selection activeCell="H263" sqref="H263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042"/>
  <sheetViews>
    <sheetView topLeftCell="A889" workbookViewId="0">
      <selection activeCell="B904" sqref="B904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Diana</cp:lastModifiedBy>
  <cp:lastPrinted>2021-12-10T12:11:21Z</cp:lastPrinted>
  <dcterms:created xsi:type="dcterms:W3CDTF">2018-09-10T07:36:17Z</dcterms:created>
  <dcterms:modified xsi:type="dcterms:W3CDTF">2022-09-26T08:01:34Z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